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ctividades 4to trimestre 2025\"/>
    </mc:Choice>
  </mc:AlternateContent>
  <bookViews>
    <workbookView xWindow="0" yWindow="0" windowWidth="15408" windowHeight="4392"/>
  </bookViews>
  <sheets>
    <sheet name="Enero-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1" i="1"/>
  <c r="H30" i="1"/>
  <c r="H29" i="1"/>
  <c r="J39" i="1"/>
  <c r="J38" i="1"/>
  <c r="J37" i="1"/>
  <c r="J36" i="1"/>
  <c r="J35" i="1"/>
  <c r="J34" i="1"/>
  <c r="J33" i="1"/>
  <c r="J32" i="1"/>
  <c r="J31" i="1"/>
  <c r="J30" i="1"/>
  <c r="J29" i="1"/>
  <c r="I40" i="1"/>
  <c r="I39" i="1"/>
  <c r="I38" i="1"/>
  <c r="I37" i="1"/>
  <c r="I36" i="1"/>
  <c r="I35" i="1"/>
  <c r="I34" i="1"/>
  <c r="I33" i="1"/>
  <c r="I32" i="1"/>
  <c r="I31" i="1"/>
  <c r="I30" i="1"/>
  <c r="I29" i="1"/>
  <c r="G40" i="1"/>
  <c r="G39" i="1"/>
  <c r="G38" i="1"/>
  <c r="G37" i="1"/>
  <c r="G36" i="1"/>
  <c r="G35" i="1"/>
  <c r="G34" i="1"/>
  <c r="G33" i="1"/>
  <c r="G32" i="1"/>
  <c r="G31" i="1"/>
  <c r="G30" i="1"/>
  <c r="G29" i="1"/>
  <c r="F40" i="1"/>
  <c r="F39" i="1"/>
  <c r="F38" i="1"/>
  <c r="F37" i="1"/>
  <c r="F36" i="1"/>
  <c r="F35" i="1"/>
  <c r="F34" i="1"/>
  <c r="F33" i="1"/>
  <c r="F32" i="1"/>
  <c r="F31" i="1"/>
  <c r="F30" i="1"/>
  <c r="F29" i="1"/>
  <c r="K40" i="1"/>
  <c r="K39" i="1"/>
  <c r="K38" i="1"/>
  <c r="K37" i="1"/>
  <c r="K36" i="1"/>
  <c r="K35" i="1"/>
  <c r="K34" i="1"/>
  <c r="K33" i="1"/>
  <c r="K32" i="1"/>
  <c r="K31" i="1"/>
  <c r="K30" i="1"/>
  <c r="K29" i="1"/>
  <c r="B40" i="1"/>
  <c r="B39" i="1"/>
  <c r="B38" i="1"/>
  <c r="B37" i="1"/>
  <c r="B36" i="1"/>
  <c r="B35" i="1"/>
  <c r="B34" i="1"/>
  <c r="B33" i="1"/>
  <c r="B32" i="1"/>
  <c r="B31" i="1"/>
  <c r="B30" i="1"/>
  <c r="B29" i="1"/>
  <c r="C40" i="1"/>
  <c r="C39" i="1"/>
  <c r="C38" i="1"/>
  <c r="C37" i="1"/>
  <c r="C36" i="1"/>
  <c r="C35" i="1"/>
  <c r="C34" i="1"/>
  <c r="C33" i="1"/>
  <c r="C32" i="1"/>
  <c r="C31" i="1"/>
  <c r="C30" i="1"/>
  <c r="C29" i="1"/>
  <c r="E39" i="1"/>
  <c r="E38" i="1"/>
  <c r="E37" i="1"/>
  <c r="E36" i="1"/>
  <c r="E35" i="1"/>
  <c r="E34" i="1"/>
  <c r="E33" i="1"/>
  <c r="E32" i="1"/>
  <c r="E31" i="1"/>
  <c r="E30" i="1"/>
  <c r="E29" i="1"/>
  <c r="D40" i="1"/>
  <c r="D39" i="1"/>
  <c r="D38" i="1"/>
  <c r="D37" i="1"/>
  <c r="D36" i="1"/>
  <c r="D35" i="1"/>
  <c r="D34" i="1"/>
  <c r="D33" i="1"/>
  <c r="D32" i="1"/>
  <c r="D31" i="1"/>
  <c r="D30" i="1"/>
  <c r="D29" i="1"/>
  <c r="L67" i="1" l="1"/>
  <c r="L37" i="1"/>
  <c r="L38" i="1"/>
  <c r="L35" i="1"/>
  <c r="L36" i="1"/>
  <c r="L31" i="1"/>
  <c r="L29" i="1"/>
  <c r="L30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8" i="1"/>
  <c r="L69" i="1"/>
  <c r="L49" i="1"/>
  <c r="L34" i="1"/>
  <c r="L40" i="1"/>
  <c r="L9" i="1"/>
  <c r="L10" i="1"/>
  <c r="L11" i="1"/>
  <c r="L12" i="1"/>
  <c r="L13" i="1"/>
  <c r="L14" i="1"/>
  <c r="L15" i="1"/>
  <c r="L16" i="1"/>
  <c r="L17" i="1"/>
  <c r="L18" i="1"/>
  <c r="L19" i="1"/>
  <c r="L8" i="1"/>
  <c r="L32" i="1" l="1"/>
  <c r="L39" i="1"/>
  <c r="L33" i="1"/>
  <c r="L41" i="1" l="1"/>
  <c r="L70" i="1"/>
  <c r="L20" i="1"/>
  <c r="J70" i="1"/>
  <c r="I70" i="1"/>
  <c r="H70" i="1"/>
  <c r="G70" i="1"/>
  <c r="F70" i="1"/>
  <c r="E70" i="1"/>
  <c r="D70" i="1"/>
  <c r="C70" i="1"/>
  <c r="B70" i="1"/>
  <c r="J41" i="1"/>
  <c r="I41" i="1"/>
  <c r="H41" i="1"/>
  <c r="G41" i="1"/>
  <c r="F41" i="1"/>
  <c r="E41" i="1"/>
  <c r="D41" i="1"/>
  <c r="C41" i="1"/>
  <c r="B41" i="1"/>
  <c r="K70" i="1" l="1"/>
  <c r="K41" i="1"/>
  <c r="J20" i="1" l="1"/>
  <c r="I20" i="1"/>
  <c r="H20" i="1"/>
  <c r="G20" i="1"/>
  <c r="F20" i="1"/>
  <c r="E20" i="1"/>
  <c r="D20" i="1"/>
  <c r="C20" i="1"/>
  <c r="B20" i="1"/>
  <c r="K20" i="1" l="1"/>
</calcChain>
</file>

<file path=xl/sharedStrings.xml><?xml version="1.0" encoding="utf-8"?>
<sst xmlns="http://schemas.openxmlformats.org/spreadsheetml/2006/main" count="133" uniqueCount="57">
  <si>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</si>
  <si>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</si>
  <si>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</si>
  <si>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</si>
  <si>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</si>
  <si>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</si>
  <si>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</si>
  <si>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</si>
  <si>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</si>
  <si>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</si>
  <si>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</si>
  <si>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TABLA DE  TIPO DE ACTIVIDADES REALIZADAS POR LOS PROGRAMAS Y REGIONALES</t>
  </si>
  <si>
    <t>Curso</t>
  </si>
  <si>
    <t>Conversatorio</t>
  </si>
  <si>
    <t xml:space="preserve">Actividad recreativa </t>
  </si>
  <si>
    <t>Actividad cultural</t>
  </si>
  <si>
    <t>Actividad religiosa</t>
  </si>
  <si>
    <t>Actividad deportiva</t>
  </si>
  <si>
    <t>Seguimiento</t>
  </si>
  <si>
    <t>Capacitacion</t>
  </si>
  <si>
    <t>Graduación</t>
  </si>
  <si>
    <t>Festivales deportivos</t>
  </si>
  <si>
    <t>Campañas</t>
  </si>
  <si>
    <t>Conferencia</t>
  </si>
  <si>
    <t>Taller</t>
  </si>
  <si>
    <t>CANTIDAD DE  ACTIVIDADES REALIZADAS POR LOS DEPARTAMENTOS Y REGIONALES</t>
  </si>
  <si>
    <t>Seminario</t>
  </si>
  <si>
    <t>Implementaciones</t>
  </si>
  <si>
    <t>OCTUBRE</t>
  </si>
  <si>
    <t>NOVIEMBRE</t>
  </si>
  <si>
    <t>DICIEMBRE</t>
  </si>
  <si>
    <t>Orientacion ciudadana</t>
  </si>
  <si>
    <t>Supervision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</si>
  <si>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</si>
  <si>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</si>
  <si>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</si>
  <si>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</si>
  <si>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</si>
  <si>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</si>
  <si>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</si>
  <si>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</si>
  <si>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</si>
  <si>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DRCNORTE</t>
  </si>
  <si>
    <t>DREN</t>
  </si>
  <si>
    <t>DRHI</t>
  </si>
  <si>
    <t>DROZAMA</t>
  </si>
  <si>
    <t xml:space="preserve">OCTUBRE </t>
  </si>
  <si>
    <t xml:space="preserve">ENERO </t>
  </si>
  <si>
    <t xml:space="preserve">AGOSTO </t>
  </si>
  <si>
    <t>Otras actividades</t>
  </si>
  <si>
    <t>Medios de Comunicación</t>
  </si>
  <si>
    <t>DRCNORESTE</t>
  </si>
  <si>
    <t>Tipo de Actividad</t>
  </si>
  <si>
    <t>DRVALDESIA</t>
  </si>
  <si>
    <t>Monitoreo</t>
  </si>
  <si>
    <t>ENERO - DICIEMBRE 2025</t>
  </si>
  <si>
    <t>Reuniones de 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</si>
</sst>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8" fillId="0" borderId="0" xfId="4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0" fillId="0" borderId="0" xfId="0" applyFill="1" applyBorder="1"/>
    <xf numFmtId="0" fontId="13" fillId="0" borderId="0" xfId="6" applyFont="1" applyFill="1" applyBorder="1" applyAlignment="1">
      <alignment horizontal="center" vertical="center"/>
    </xf>
    <xf numFmtId="3" fontId="13" fillId="0" borderId="0" xfId="6" applyNumberFormat="1" applyFont="1" applyFill="1" applyBorder="1" applyAlignment="1">
      <alignment horizontal="center"/>
    </xf>
    <xf numFmtId="3" fontId="13" fillId="0" borderId="0" xfId="6" applyNumberFormat="1" applyFont="1" applyFill="1" applyBorder="1" applyAlignment="1">
      <alignment horizontal="center" vertical="center"/>
    </xf>
    <xf numFmtId="3" fontId="13" fillId="0" borderId="0" xfId="6" applyNumberFormat="1" applyFont="1" applyFill="1" applyBorder="1" applyAlignment="1">
      <alignment horizontal="center"/>
    </xf>
    <xf numFmtId="0" fontId="13" fillId="0" borderId="0" xfId="6" applyFont="1" applyFill="1" applyBorder="1" applyAlignment="1">
      <alignment horizontal="center"/>
    </xf>
    <xf numFmtId="0" fontId="3" fillId="0" borderId="0" xfId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0" fontId="13" fillId="0" borderId="0" xfId="6" applyFont="1" applyFill="1" applyBorder="1" applyAlignment="1">
      <alignment horizontal="center" vertical="center" wrapText="1"/>
    </xf>
    <xf numFmtId="3" fontId="13" fillId="0" borderId="0" xfId="6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13" fillId="0" borderId="0" xfId="6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3" fillId="0" borderId="0" xfId="3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3" fontId="3" fillId="0" borderId="0" xfId="3" applyNumberFormat="1" applyFill="1" applyBorder="1" applyAlignment="1">
      <alignment horizontal="center"/>
    </xf>
    <xf numFmtId="0" fontId="13" fillId="0" borderId="0" xfId="6" applyFont="1" applyFill="1" applyBorder="1"/>
  </cellXfs>
  <cellStyles count="7">
    <cellStyle name="40% - Énfasis1" xfId="6" builtinId="31"/>
    <cellStyle name="Normal" xfId="0" builtinId="0"/>
    <cellStyle name="Normal 2" xfId="5"/>
    <cellStyle name="Normal 3" xfId="3"/>
    <cellStyle name="Normal 4" xfId="2"/>
    <cellStyle name="Normal 5" xfId="1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8"/>
  <sheetViews>
    <sheetView showGridLines="0" tabSelected="1" view="pageBreakPreview" zoomScale="60" zoomScaleNormal="90" workbookViewId="0">
      <selection activeCell="O57" sqref="O57"/>
    </sheetView>
  </sheetViews>
  <sheetFormatPr baseColWidth="10" defaultRowHeight="14.4" x14ac:dyDescent="0.3"/>
  <cols>
    <col min="1" max="1" width="27.33203125" customWidth="1"/>
    <col min="2" max="2" width="10.109375" customWidth="1"/>
    <col min="3" max="3" width="7.5546875" customWidth="1"/>
    <col min="4" max="4" width="5.6640625" customWidth="1"/>
    <col min="5" max="5" width="7.6640625" customWidth="1"/>
    <col min="6" max="6" width="7.5546875" customWidth="1"/>
    <col min="7" max="7" width="7.44140625" bestFit="1" customWidth="1"/>
    <col min="8" max="8" width="6.44140625" customWidth="1"/>
    <col min="9" max="9" width="7.6640625" customWidth="1"/>
    <col min="10" max="10" width="9" customWidth="1"/>
    <col min="11" max="11" width="10.33203125" customWidth="1"/>
  </cols>
  <sheetData>
    <row r="2" spans="1:12" ht="15.6" x14ac:dyDescent="0.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6" customFormat="1" ht="15" customHeight="1" x14ac:dyDescent="0.3">
      <c r="A3" s="5" t="s">
        <v>25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6" customFormat="1" x14ac:dyDescent="0.3">
      <c r="A4" s="5" t="s">
        <v>55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6" customFormat="1" x14ac:dyDescent="0.3">
      <c r="A5" s="7" t="s">
        <v>1</v>
      </c>
      <c r="B5" s="8" t="s">
        <v>2</v>
      </c>
      <c r="C5" s="8"/>
      <c r="D5" s="8"/>
      <c r="E5" s="8"/>
      <c r="F5" s="8" t="s">
        <v>3</v>
      </c>
      <c r="G5" s="8"/>
      <c r="H5" s="8"/>
      <c r="I5" s="8"/>
      <c r="J5" s="8"/>
      <c r="K5" s="8"/>
      <c r="L5" s="9" t="s">
        <v>4</v>
      </c>
    </row>
    <row r="6" spans="1:12" s="6" customFormat="1" x14ac:dyDescent="0.3">
      <c r="A6" s="7"/>
      <c r="B6" s="10" t="s">
        <v>5</v>
      </c>
      <c r="C6" s="10" t="s">
        <v>6</v>
      </c>
      <c r="D6" s="10" t="s">
        <v>7</v>
      </c>
      <c r="E6" s="10" t="s">
        <v>8</v>
      </c>
      <c r="F6" s="11" t="s">
        <v>42</v>
      </c>
      <c r="G6" s="11" t="s">
        <v>43</v>
      </c>
      <c r="H6" s="10" t="s">
        <v>53</v>
      </c>
      <c r="I6" s="11" t="s">
        <v>44</v>
      </c>
      <c r="J6" s="11" t="s">
        <v>45</v>
      </c>
      <c r="K6" s="10" t="s">
        <v>51</v>
      </c>
      <c r="L6" s="9"/>
    </row>
    <row r="7" spans="1:12" s="6" customFormat="1" x14ac:dyDescent="0.3">
      <c r="A7" s="7"/>
      <c r="B7" s="10" t="s">
        <v>9</v>
      </c>
      <c r="C7" s="10" t="s">
        <v>9</v>
      </c>
      <c r="D7" s="10" t="s">
        <v>9</v>
      </c>
      <c r="E7" s="10" t="s">
        <v>9</v>
      </c>
      <c r="F7" s="10" t="s">
        <v>9</v>
      </c>
      <c r="G7" s="10" t="s">
        <v>9</v>
      </c>
      <c r="H7" s="10" t="s">
        <v>9</v>
      </c>
      <c r="I7" s="10" t="s">
        <v>9</v>
      </c>
      <c r="J7" s="10" t="s">
        <v>9</v>
      </c>
      <c r="K7" s="10" t="s">
        <v>9</v>
      </c>
      <c r="L7" s="10" t="s">
        <v>9</v>
      </c>
    </row>
    <row r="8" spans="1:12" s="6" customFormat="1" x14ac:dyDescent="0.3">
      <c r="A8" s="12" t="s">
        <v>47</v>
      </c>
      <c r="B8" s="13">
        <v>5</v>
      </c>
      <c r="C8" s="13">
        <v>17</v>
      </c>
      <c r="D8" s="13">
        <v>3</v>
      </c>
      <c r="E8" s="13">
        <v>9</v>
      </c>
      <c r="F8" s="13">
        <v>12</v>
      </c>
      <c r="G8" s="13">
        <v>8</v>
      </c>
      <c r="H8" s="13">
        <v>6</v>
      </c>
      <c r="I8" s="13">
        <v>2</v>
      </c>
      <c r="J8" s="13">
        <v>5</v>
      </c>
      <c r="K8" s="14">
        <v>3</v>
      </c>
      <c r="L8" s="15">
        <f>B8+C8+D8+E8+F8+G8+H8+I8+J8+K8</f>
        <v>70</v>
      </c>
    </row>
    <row r="9" spans="1:12" s="6" customFormat="1" x14ac:dyDescent="0.3">
      <c r="A9" s="12" t="s">
        <v>34</v>
      </c>
      <c r="B9" s="13">
        <v>4</v>
      </c>
      <c r="C9" s="13">
        <v>14</v>
      </c>
      <c r="D9" s="13">
        <v>5</v>
      </c>
      <c r="E9" s="13">
        <v>15</v>
      </c>
      <c r="F9" s="13">
        <v>15</v>
      </c>
      <c r="G9" s="13">
        <v>11</v>
      </c>
      <c r="H9" s="13">
        <v>7</v>
      </c>
      <c r="I9" s="13">
        <v>11</v>
      </c>
      <c r="J9" s="13">
        <v>8</v>
      </c>
      <c r="K9" s="14">
        <v>6</v>
      </c>
      <c r="L9" s="15">
        <f>B9+C9+D9+E9+F9+G9+H9+I9+J9+K9</f>
        <v>96</v>
      </c>
    </row>
    <row r="10" spans="1:12" s="6" customFormat="1" x14ac:dyDescent="0.3">
      <c r="A10" s="12" t="s">
        <v>35</v>
      </c>
      <c r="B10" s="13">
        <v>3</v>
      </c>
      <c r="C10" s="13">
        <v>30</v>
      </c>
      <c r="D10" s="13">
        <v>12</v>
      </c>
      <c r="E10" s="13">
        <v>21</v>
      </c>
      <c r="F10" s="13">
        <v>23</v>
      </c>
      <c r="G10" s="13">
        <v>15</v>
      </c>
      <c r="H10" s="13">
        <v>11</v>
      </c>
      <c r="I10" s="13">
        <v>9</v>
      </c>
      <c r="J10" s="13">
        <v>11</v>
      </c>
      <c r="K10" s="14">
        <v>13</v>
      </c>
      <c r="L10" s="15">
        <f>B10+C10+D10+E10+F10+G10+H10+I10+J10+K10</f>
        <v>148</v>
      </c>
    </row>
    <row r="11" spans="1:12" s="6" customFormat="1" x14ac:dyDescent="0.3">
      <c r="A11" s="12" t="s">
        <v>36</v>
      </c>
      <c r="B11" s="13">
        <v>7</v>
      </c>
      <c r="C11" s="13">
        <v>22</v>
      </c>
      <c r="D11" s="13">
        <v>10</v>
      </c>
      <c r="E11" s="13">
        <v>15</v>
      </c>
      <c r="F11" s="13">
        <v>27</v>
      </c>
      <c r="G11" s="13">
        <v>8</v>
      </c>
      <c r="H11" s="13">
        <v>0</v>
      </c>
      <c r="I11" s="13">
        <v>4</v>
      </c>
      <c r="J11" s="13">
        <v>8</v>
      </c>
      <c r="K11" s="14">
        <v>13</v>
      </c>
      <c r="L11" s="15">
        <f>B11+C11+D11+E11+F11+G11+H11+I11+J11+K11</f>
        <v>114</v>
      </c>
    </row>
    <row r="12" spans="1:12" s="6" customFormat="1" x14ac:dyDescent="0.3">
      <c r="A12" s="12" t="s">
        <v>37</v>
      </c>
      <c r="B12" s="13">
        <v>4</v>
      </c>
      <c r="C12" s="13">
        <v>23</v>
      </c>
      <c r="D12" s="13">
        <v>9</v>
      </c>
      <c r="E12" s="13">
        <v>17</v>
      </c>
      <c r="F12" s="13">
        <v>24</v>
      </c>
      <c r="G12" s="13">
        <v>19</v>
      </c>
      <c r="H12" s="13">
        <v>0</v>
      </c>
      <c r="I12" s="13">
        <v>11</v>
      </c>
      <c r="J12" s="13">
        <v>10</v>
      </c>
      <c r="K12" s="14">
        <v>15</v>
      </c>
      <c r="L12" s="15">
        <f>B12+C12+D12+E12+F12+G12+H12+I12+J12+K12</f>
        <v>132</v>
      </c>
    </row>
    <row r="13" spans="1:12" s="6" customFormat="1" x14ac:dyDescent="0.3">
      <c r="A13" s="12" t="s">
        <v>38</v>
      </c>
      <c r="B13" s="13">
        <v>6</v>
      </c>
      <c r="C13" s="13">
        <v>22</v>
      </c>
      <c r="D13" s="13">
        <v>9</v>
      </c>
      <c r="E13" s="13">
        <v>17</v>
      </c>
      <c r="F13" s="13">
        <v>20</v>
      </c>
      <c r="G13" s="13">
        <v>11</v>
      </c>
      <c r="H13" s="13">
        <v>11</v>
      </c>
      <c r="I13" s="13">
        <v>13</v>
      </c>
      <c r="J13" s="13">
        <v>9</v>
      </c>
      <c r="K13" s="14">
        <v>10</v>
      </c>
      <c r="L13" s="15">
        <f>B13+C13+D13+E13+F13+G13+H13+I13+J13+K13</f>
        <v>128</v>
      </c>
    </row>
    <row r="14" spans="1:12" s="6" customFormat="1" x14ac:dyDescent="0.3">
      <c r="A14" s="12" t="s">
        <v>39</v>
      </c>
      <c r="B14" s="13">
        <v>11</v>
      </c>
      <c r="C14" s="13">
        <v>4</v>
      </c>
      <c r="D14" s="13">
        <v>16</v>
      </c>
      <c r="E14" s="13">
        <v>29</v>
      </c>
      <c r="F14" s="13">
        <v>13</v>
      </c>
      <c r="G14" s="13">
        <v>4</v>
      </c>
      <c r="H14" s="13">
        <v>8</v>
      </c>
      <c r="I14" s="13">
        <v>16</v>
      </c>
      <c r="J14" s="13">
        <v>14</v>
      </c>
      <c r="K14" s="14">
        <v>16</v>
      </c>
      <c r="L14" s="15">
        <f>B14+C14+D14+E14+F14+G14+H14+I14+J14+K14</f>
        <v>131</v>
      </c>
    </row>
    <row r="15" spans="1:12" s="6" customFormat="1" x14ac:dyDescent="0.3">
      <c r="A15" s="12" t="s">
        <v>48</v>
      </c>
      <c r="B15" s="13">
        <v>14</v>
      </c>
      <c r="C15" s="13">
        <v>8</v>
      </c>
      <c r="D15" s="13">
        <v>6</v>
      </c>
      <c r="E15" s="13">
        <v>18</v>
      </c>
      <c r="F15" s="13">
        <v>14</v>
      </c>
      <c r="G15" s="13">
        <v>3</v>
      </c>
      <c r="H15" s="13">
        <v>7</v>
      </c>
      <c r="I15" s="13">
        <v>9</v>
      </c>
      <c r="J15" s="13">
        <v>5</v>
      </c>
      <c r="K15" s="14">
        <v>12</v>
      </c>
      <c r="L15" s="15">
        <f>B15+C15+D15+E15+F15+G15+H15+I15+J15+K15</f>
        <v>96</v>
      </c>
    </row>
    <row r="16" spans="1:12" s="6" customFormat="1" x14ac:dyDescent="0.3">
      <c r="A16" s="12" t="s">
        <v>41</v>
      </c>
      <c r="B16" s="13">
        <v>5</v>
      </c>
      <c r="C16" s="13">
        <v>17</v>
      </c>
      <c r="D16" s="13">
        <v>10</v>
      </c>
      <c r="E16" s="13">
        <v>18</v>
      </c>
      <c r="F16" s="13">
        <v>19</v>
      </c>
      <c r="G16" s="13">
        <v>8</v>
      </c>
      <c r="H16" s="13">
        <v>6</v>
      </c>
      <c r="I16" s="13">
        <v>11</v>
      </c>
      <c r="J16" s="13">
        <v>17</v>
      </c>
      <c r="K16" s="14">
        <v>18</v>
      </c>
      <c r="L16" s="15">
        <f>B16+C16+D16+E16+F16+G16+H16+I16+J16+K16</f>
        <v>129</v>
      </c>
    </row>
    <row r="17" spans="1:12" s="6" customFormat="1" x14ac:dyDescent="0.3">
      <c r="A17" s="12" t="s">
        <v>28</v>
      </c>
      <c r="B17" s="13">
        <v>3</v>
      </c>
      <c r="C17" s="13">
        <v>22</v>
      </c>
      <c r="D17" s="13">
        <v>7</v>
      </c>
      <c r="E17" s="13">
        <v>20</v>
      </c>
      <c r="F17" s="13">
        <v>25</v>
      </c>
      <c r="G17" s="13">
        <v>13</v>
      </c>
      <c r="H17" s="13">
        <v>7</v>
      </c>
      <c r="I17" s="13">
        <v>15</v>
      </c>
      <c r="J17" s="13">
        <v>22</v>
      </c>
      <c r="K17" s="14">
        <v>16</v>
      </c>
      <c r="L17" s="15">
        <f>B17+C17+D17+E17+F17+G17+H17+I17+J17+K17</f>
        <v>150</v>
      </c>
    </row>
    <row r="18" spans="1:12" s="6" customFormat="1" x14ac:dyDescent="0.3">
      <c r="A18" s="12" t="s">
        <v>29</v>
      </c>
      <c r="B18" s="13">
        <v>6</v>
      </c>
      <c r="C18" s="13">
        <v>14</v>
      </c>
      <c r="D18" s="13">
        <v>3</v>
      </c>
      <c r="E18" s="13">
        <v>5</v>
      </c>
      <c r="F18" s="13">
        <v>19</v>
      </c>
      <c r="G18" s="13">
        <v>10</v>
      </c>
      <c r="H18" s="13">
        <v>3</v>
      </c>
      <c r="I18" s="13">
        <v>18</v>
      </c>
      <c r="J18" s="13">
        <v>32</v>
      </c>
      <c r="K18" s="14">
        <v>14</v>
      </c>
      <c r="L18" s="15">
        <f>B18+C18+D18+E18+F18+G18+H18+I18+J18+K18</f>
        <v>124</v>
      </c>
    </row>
    <row r="19" spans="1:12" s="6" customFormat="1" x14ac:dyDescent="0.3">
      <c r="A19" s="12" t="s">
        <v>30</v>
      </c>
      <c r="B19" s="13">
        <v>1</v>
      </c>
      <c r="C19" s="13">
        <v>2</v>
      </c>
      <c r="D19" s="13">
        <v>1</v>
      </c>
      <c r="E19" s="13">
        <v>0</v>
      </c>
      <c r="F19" s="13">
        <v>1</v>
      </c>
      <c r="G19" s="13">
        <v>6</v>
      </c>
      <c r="H19" s="13">
        <v>6</v>
      </c>
      <c r="I19" s="13">
        <v>6</v>
      </c>
      <c r="J19" s="13">
        <v>1</v>
      </c>
      <c r="K19" s="14">
        <v>5</v>
      </c>
      <c r="L19" s="15">
        <f>B19+C19+D19+E19+F19+G19+H19+I19+J19+K19</f>
        <v>29</v>
      </c>
    </row>
    <row r="20" spans="1:12" s="6" customFormat="1" x14ac:dyDescent="0.3">
      <c r="A20" s="16" t="s">
        <v>4</v>
      </c>
      <c r="B20" s="17">
        <f t="shared" ref="B20:K20" si="0">SUM(B8:B19)</f>
        <v>69</v>
      </c>
      <c r="C20" s="17">
        <f t="shared" si="0"/>
        <v>195</v>
      </c>
      <c r="D20" s="17">
        <f t="shared" si="0"/>
        <v>91</v>
      </c>
      <c r="E20" s="17">
        <f t="shared" si="0"/>
        <v>184</v>
      </c>
      <c r="F20" s="17">
        <f t="shared" si="0"/>
        <v>212</v>
      </c>
      <c r="G20" s="17">
        <f t="shared" si="0"/>
        <v>116</v>
      </c>
      <c r="H20" s="17">
        <f t="shared" si="0"/>
        <v>72</v>
      </c>
      <c r="I20" s="17">
        <f t="shared" si="0"/>
        <v>125</v>
      </c>
      <c r="J20" s="17">
        <f t="shared" si="0"/>
        <v>142</v>
      </c>
      <c r="K20" s="10">
        <f t="shared" si="0"/>
        <v>141</v>
      </c>
      <c r="L20" s="10">
        <f t="shared" ref="L20" si="1">SUM(L8:L19)</f>
        <v>1347</v>
      </c>
    </row>
    <row r="21" spans="1:12" s="6" customFormat="1" x14ac:dyDescent="0.3">
      <c r="A21" s="18"/>
      <c r="B21" s="19"/>
      <c r="C21" s="19"/>
      <c r="D21" s="19"/>
      <c r="E21" s="19"/>
      <c r="F21" s="19"/>
      <c r="G21" s="19"/>
      <c r="H21" s="19"/>
      <c r="I21" s="19"/>
      <c r="J21" s="20"/>
    </row>
    <row r="22" spans="1:12" s="6" customFormat="1" x14ac:dyDescent="0.3"/>
    <row r="23" spans="1:12" s="6" customFormat="1" ht="15.6" x14ac:dyDescent="0.3">
      <c r="A23" s="21" t="s">
        <v>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s="6" customFormat="1" x14ac:dyDescent="0.3">
      <c r="A24" s="22" t="s">
        <v>10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s="6" customFormat="1" x14ac:dyDescent="0.3">
      <c r="A25" s="5" t="s">
        <v>55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s="6" customFormat="1" x14ac:dyDescent="0.3">
      <c r="A26" s="7" t="s">
        <v>1</v>
      </c>
      <c r="B26" s="23" t="s">
        <v>2</v>
      </c>
      <c r="C26" s="23"/>
      <c r="D26" s="23"/>
      <c r="E26" s="23"/>
      <c r="F26" s="23" t="s">
        <v>3</v>
      </c>
      <c r="G26" s="23"/>
      <c r="H26" s="23"/>
      <c r="I26" s="23"/>
      <c r="J26" s="23"/>
      <c r="K26" s="23"/>
      <c r="L26" s="7" t="s">
        <v>4</v>
      </c>
    </row>
    <row r="27" spans="1:12" s="6" customFormat="1" x14ac:dyDescent="0.3">
      <c r="A27" s="7"/>
      <c r="B27" s="11" t="s">
        <v>5</v>
      </c>
      <c r="C27" s="11" t="s">
        <v>6</v>
      </c>
      <c r="D27" s="11" t="s">
        <v>7</v>
      </c>
      <c r="E27" s="11" t="s">
        <v>8</v>
      </c>
      <c r="F27" s="11" t="s">
        <v>42</v>
      </c>
      <c r="G27" s="11" t="s">
        <v>43</v>
      </c>
      <c r="H27" s="11" t="s">
        <v>53</v>
      </c>
      <c r="I27" s="11" t="s">
        <v>44</v>
      </c>
      <c r="J27" s="11" t="s">
        <v>45</v>
      </c>
      <c r="K27" s="10" t="s">
        <v>51</v>
      </c>
      <c r="L27" s="7"/>
    </row>
    <row r="28" spans="1:12" s="6" customFormat="1" x14ac:dyDescent="0.3">
      <c r="A28" s="7"/>
      <c r="B28" s="10" t="s">
        <v>9</v>
      </c>
      <c r="C28" s="10" t="s">
        <v>9</v>
      </c>
      <c r="D28" s="10" t="s">
        <v>9</v>
      </c>
      <c r="E28" s="10" t="s">
        <v>9</v>
      </c>
      <c r="F28" s="10" t="s">
        <v>9</v>
      </c>
      <c r="G28" s="10" t="s">
        <v>9</v>
      </c>
      <c r="H28" s="10" t="s">
        <v>9</v>
      </c>
      <c r="I28" s="10" t="s">
        <v>9</v>
      </c>
      <c r="J28" s="10" t="s">
        <v>9</v>
      </c>
      <c r="K28" s="10" t="s">
        <v>9</v>
      </c>
      <c r="L28" s="10" t="s">
        <v>9</v>
      </c>
    </row>
    <row r="29" spans="1:12" s="6" customFormat="1" x14ac:dyDescent="0.3">
      <c r="A29" s="12" t="s">
        <v>47</v>
      </c>
      <c r="B29" s="24">
        <f>194+55</f>
        <v>249</v>
      </c>
      <c r="C29" s="24">
        <f>337+258</f>
        <v>595</v>
      </c>
      <c r="D29" s="24">
        <f>31+49</f>
        <v>80</v>
      </c>
      <c r="E29" s="24">
        <f>78+312</f>
        <v>390</v>
      </c>
      <c r="F29" s="24">
        <f>410+340</f>
        <v>750</v>
      </c>
      <c r="G29" s="24">
        <f>183+85</f>
        <v>268</v>
      </c>
      <c r="H29" s="24">
        <f>139+176</f>
        <v>315</v>
      </c>
      <c r="I29" s="24">
        <f>68+77</f>
        <v>145</v>
      </c>
      <c r="J29" s="24">
        <f>83+241</f>
        <v>324</v>
      </c>
      <c r="K29" s="14">
        <f>36+48</f>
        <v>84</v>
      </c>
      <c r="L29" s="15">
        <f>B29+C29+D29+E29+F29+G29+H29+I29+J29+K29</f>
        <v>3200</v>
      </c>
    </row>
    <row r="30" spans="1:12" s="6" customFormat="1" x14ac:dyDescent="0.3">
      <c r="A30" s="12" t="s">
        <v>34</v>
      </c>
      <c r="B30" s="24">
        <f>110+35</f>
        <v>145</v>
      </c>
      <c r="C30" s="24">
        <f>234+185</f>
        <v>419</v>
      </c>
      <c r="D30" s="24">
        <f>55+47</f>
        <v>102</v>
      </c>
      <c r="E30" s="24">
        <f>184+456</f>
        <v>640</v>
      </c>
      <c r="F30" s="24">
        <f>561+468</f>
        <v>1029</v>
      </c>
      <c r="G30" s="24">
        <f>153+114</f>
        <v>267</v>
      </c>
      <c r="H30" s="24">
        <f>127+251</f>
        <v>378</v>
      </c>
      <c r="I30" s="24">
        <f>312+1065</f>
        <v>1377</v>
      </c>
      <c r="J30" s="24">
        <f>154+147</f>
        <v>301</v>
      </c>
      <c r="K30" s="14">
        <f>152+137</f>
        <v>289</v>
      </c>
      <c r="L30" s="15">
        <f>B30+C30+D30+E30+F30+G30+H30+I30+J30+K30</f>
        <v>4947</v>
      </c>
    </row>
    <row r="31" spans="1:12" s="6" customFormat="1" x14ac:dyDescent="0.3">
      <c r="A31" s="12" t="s">
        <v>35</v>
      </c>
      <c r="B31" s="24">
        <f>23+9</f>
        <v>32</v>
      </c>
      <c r="C31" s="24">
        <f>607+523</f>
        <v>1130</v>
      </c>
      <c r="D31" s="24">
        <f>245+222</f>
        <v>467</v>
      </c>
      <c r="E31" s="24">
        <f>487+1045</f>
        <v>1532</v>
      </c>
      <c r="F31" s="24">
        <f>833+816</f>
        <v>1649</v>
      </c>
      <c r="G31" s="24">
        <f>236+269</f>
        <v>505</v>
      </c>
      <c r="H31" s="24">
        <f>206+242</f>
        <v>448</v>
      </c>
      <c r="I31" s="24">
        <f>362+274</f>
        <v>636</v>
      </c>
      <c r="J31" s="24">
        <f>285+299</f>
        <v>584</v>
      </c>
      <c r="K31" s="14">
        <f>349+394</f>
        <v>743</v>
      </c>
      <c r="L31" s="15">
        <f>B31+C31+D31+E31+F31+G31+H31+I31+J31+K31</f>
        <v>7726</v>
      </c>
    </row>
    <row r="32" spans="1:12" s="6" customFormat="1" x14ac:dyDescent="0.3">
      <c r="A32" s="12" t="s">
        <v>36</v>
      </c>
      <c r="B32" s="13">
        <f>174+95</f>
        <v>269</v>
      </c>
      <c r="C32" s="13">
        <f>540+331</f>
        <v>871</v>
      </c>
      <c r="D32" s="13">
        <f>80+197</f>
        <v>277</v>
      </c>
      <c r="E32" s="13">
        <f>82+454</f>
        <v>536</v>
      </c>
      <c r="F32" s="13">
        <f>1810+1714</f>
        <v>3524</v>
      </c>
      <c r="G32" s="13">
        <f>135+206</f>
        <v>341</v>
      </c>
      <c r="H32" s="13">
        <v>0</v>
      </c>
      <c r="I32" s="13">
        <f>144+676</f>
        <v>820</v>
      </c>
      <c r="J32" s="13">
        <f>123+129</f>
        <v>252</v>
      </c>
      <c r="K32" s="14">
        <f>469+332</f>
        <v>801</v>
      </c>
      <c r="L32" s="15">
        <f>B32+C32+D32+E32+F32+G32+H32+I32+J32+K32</f>
        <v>7691</v>
      </c>
    </row>
    <row r="33" spans="1:12" s="6" customFormat="1" x14ac:dyDescent="0.3">
      <c r="A33" s="12" t="s">
        <v>37</v>
      </c>
      <c r="B33" s="13">
        <f>80+23</f>
        <v>103</v>
      </c>
      <c r="C33" s="13">
        <f>794+675</f>
        <v>1469</v>
      </c>
      <c r="D33" s="13">
        <f>225+323</f>
        <v>548</v>
      </c>
      <c r="E33" s="13">
        <f>68+547</f>
        <v>615</v>
      </c>
      <c r="F33" s="13">
        <f>567+580</f>
        <v>1147</v>
      </c>
      <c r="G33" s="13">
        <f>610+473</f>
        <v>1083</v>
      </c>
      <c r="H33" s="13">
        <v>0</v>
      </c>
      <c r="I33" s="13">
        <f>439+323</f>
        <v>762</v>
      </c>
      <c r="J33" s="13">
        <f>128+217</f>
        <v>345</v>
      </c>
      <c r="K33" s="14">
        <f>379+295</f>
        <v>674</v>
      </c>
      <c r="L33" s="15">
        <f>B33+C33+D33+E33+F33+G33+H33+I33+J33+K33</f>
        <v>6746</v>
      </c>
    </row>
    <row r="34" spans="1:12" s="6" customFormat="1" x14ac:dyDescent="0.3">
      <c r="A34" s="12" t="s">
        <v>38</v>
      </c>
      <c r="B34" s="13">
        <f>93+74</f>
        <v>167</v>
      </c>
      <c r="C34" s="13">
        <f>679+493</f>
        <v>1172</v>
      </c>
      <c r="D34" s="13">
        <f>77+158</f>
        <v>235</v>
      </c>
      <c r="E34" s="13">
        <f>205+777</f>
        <v>982</v>
      </c>
      <c r="F34" s="13">
        <f>480+469</f>
        <v>949</v>
      </c>
      <c r="G34" s="13">
        <f>297+216</f>
        <v>513</v>
      </c>
      <c r="H34" s="13">
        <f>227+265</f>
        <v>492</v>
      </c>
      <c r="I34" s="13">
        <f>295+291</f>
        <v>586</v>
      </c>
      <c r="J34" s="13">
        <f>126+189</f>
        <v>315</v>
      </c>
      <c r="K34" s="14">
        <f>110+287</f>
        <v>397</v>
      </c>
      <c r="L34" s="15">
        <f>B34+C34+D34+E34+F34+G34+H34+I34+J34+K34</f>
        <v>5808</v>
      </c>
    </row>
    <row r="35" spans="1:12" s="6" customFormat="1" x14ac:dyDescent="0.3">
      <c r="A35" s="12" t="s">
        <v>39</v>
      </c>
      <c r="B35" s="13">
        <f>284+98</f>
        <v>382</v>
      </c>
      <c r="C35" s="13">
        <f>70+37</f>
        <v>107</v>
      </c>
      <c r="D35" s="13">
        <f>240+248</f>
        <v>488</v>
      </c>
      <c r="E35" s="13">
        <f>354+1117</f>
        <v>1471</v>
      </c>
      <c r="F35" s="13">
        <f>130+418</f>
        <v>548</v>
      </c>
      <c r="G35" s="13">
        <f>17+97</f>
        <v>114</v>
      </c>
      <c r="H35" s="13">
        <f>71+140</f>
        <v>211</v>
      </c>
      <c r="I35" s="13">
        <f>362+1347</f>
        <v>1709</v>
      </c>
      <c r="J35" s="13">
        <f>224+257</f>
        <v>481</v>
      </c>
      <c r="K35" s="14">
        <f>222+232</f>
        <v>454</v>
      </c>
      <c r="L35" s="15">
        <f>B35+C35+D35+E35+F35+G35+H35+I35+J35+K35</f>
        <v>5965</v>
      </c>
    </row>
    <row r="36" spans="1:12" s="6" customFormat="1" x14ac:dyDescent="0.3">
      <c r="A36" s="12" t="s">
        <v>40</v>
      </c>
      <c r="B36" s="13">
        <f>252+111</f>
        <v>363</v>
      </c>
      <c r="C36" s="13">
        <f>151+97</f>
        <v>248</v>
      </c>
      <c r="D36" s="13">
        <f>100+138</f>
        <v>238</v>
      </c>
      <c r="E36" s="13">
        <f>172+894</f>
        <v>1066</v>
      </c>
      <c r="F36" s="13">
        <f>231+378</f>
        <v>609</v>
      </c>
      <c r="G36" s="13">
        <f>69+98</f>
        <v>167</v>
      </c>
      <c r="H36" s="13">
        <f>81+97</f>
        <v>178</v>
      </c>
      <c r="I36" s="13">
        <f>709+513</f>
        <v>1222</v>
      </c>
      <c r="J36" s="13">
        <f>107+262</f>
        <v>369</v>
      </c>
      <c r="K36" s="14">
        <f>126+195</f>
        <v>321</v>
      </c>
      <c r="L36" s="15">
        <f>B36+C36+D36+E36+F36+G36+H36+I36+J36+K36</f>
        <v>4781</v>
      </c>
    </row>
    <row r="37" spans="1:12" s="6" customFormat="1" x14ac:dyDescent="0.3">
      <c r="A37" s="12" t="s">
        <v>41</v>
      </c>
      <c r="B37" s="13">
        <f>66+31</f>
        <v>97</v>
      </c>
      <c r="C37" s="13">
        <f>386+267</f>
        <v>653</v>
      </c>
      <c r="D37" s="13">
        <f>240+339</f>
        <v>579</v>
      </c>
      <c r="E37" s="13">
        <f>527+986</f>
        <v>1513</v>
      </c>
      <c r="F37" s="13">
        <f>1012+367</f>
        <v>1379</v>
      </c>
      <c r="G37" s="13">
        <f>107+90</f>
        <v>197</v>
      </c>
      <c r="H37" s="13">
        <f>209+113</f>
        <v>322</v>
      </c>
      <c r="I37" s="13">
        <f>118+219</f>
        <v>337</v>
      </c>
      <c r="J37" s="13">
        <f>393+335</f>
        <v>728</v>
      </c>
      <c r="K37" s="14">
        <f>385+313</f>
        <v>698</v>
      </c>
      <c r="L37" s="15">
        <f>B37+C37+D37+E37+F37+G37+H37+I37+J37+K37</f>
        <v>6503</v>
      </c>
    </row>
    <row r="38" spans="1:12" s="6" customFormat="1" x14ac:dyDescent="0.3">
      <c r="A38" s="12" t="s">
        <v>46</v>
      </c>
      <c r="B38" s="13">
        <f>55+12</f>
        <v>67</v>
      </c>
      <c r="C38" s="13">
        <f>401+181</f>
        <v>582</v>
      </c>
      <c r="D38" s="13">
        <f>75+165</f>
        <v>240</v>
      </c>
      <c r="E38" s="13">
        <f>404+849</f>
        <v>1253</v>
      </c>
      <c r="F38" s="13">
        <f>404+445</f>
        <v>849</v>
      </c>
      <c r="G38" s="13">
        <f>363+286</f>
        <v>649</v>
      </c>
      <c r="H38" s="13">
        <f>148+145</f>
        <v>293</v>
      </c>
      <c r="I38" s="13">
        <f>445+903</f>
        <v>1348</v>
      </c>
      <c r="J38" s="13">
        <f>446+435</f>
        <v>881</v>
      </c>
      <c r="K38" s="14">
        <f>325+166</f>
        <v>491</v>
      </c>
      <c r="L38" s="15">
        <f>B38+C38+D38+E38+F38+G38+H38+I38+J38+K38</f>
        <v>6653</v>
      </c>
    </row>
    <row r="39" spans="1:12" s="6" customFormat="1" x14ac:dyDescent="0.3">
      <c r="A39" s="12" t="s">
        <v>29</v>
      </c>
      <c r="B39" s="13">
        <f>70+26</f>
        <v>96</v>
      </c>
      <c r="C39" s="13">
        <f>397+400</f>
        <v>797</v>
      </c>
      <c r="D39" s="13">
        <f>88+32</f>
        <v>120</v>
      </c>
      <c r="E39" s="13">
        <f>156+198</f>
        <v>354</v>
      </c>
      <c r="F39" s="13">
        <f>505+812</f>
        <v>1317</v>
      </c>
      <c r="G39" s="13">
        <f>206+284</f>
        <v>490</v>
      </c>
      <c r="H39" s="13">
        <f>57+91</f>
        <v>148</v>
      </c>
      <c r="I39" s="13">
        <f>407+462</f>
        <v>869</v>
      </c>
      <c r="J39" s="13">
        <f>565+667</f>
        <v>1232</v>
      </c>
      <c r="K39" s="14">
        <f>307+293</f>
        <v>600</v>
      </c>
      <c r="L39" s="15">
        <f>B39+C39+D39+E39+F39+G39+H39+I39+J39+K39</f>
        <v>6023</v>
      </c>
    </row>
    <row r="40" spans="1:12" s="6" customFormat="1" x14ac:dyDescent="0.3">
      <c r="A40" s="12" t="s">
        <v>30</v>
      </c>
      <c r="B40" s="13">
        <f>7+3</f>
        <v>10</v>
      </c>
      <c r="C40" s="13">
        <f>101+90</f>
        <v>191</v>
      </c>
      <c r="D40" s="13">
        <f>7+27</f>
        <v>34</v>
      </c>
      <c r="E40" s="13">
        <v>0</v>
      </c>
      <c r="F40" s="13">
        <f>75+16</f>
        <v>91</v>
      </c>
      <c r="G40" s="13">
        <f>131+100</f>
        <v>231</v>
      </c>
      <c r="H40" s="13">
        <f>95+126</f>
        <v>221</v>
      </c>
      <c r="I40" s="13">
        <f>309+1133</f>
        <v>1442</v>
      </c>
      <c r="J40" s="13">
        <v>19</v>
      </c>
      <c r="K40" s="14">
        <f>65+70</f>
        <v>135</v>
      </c>
      <c r="L40" s="15">
        <f>B40+C40+D40+E40+F40+G40+H40+I40+J40+K40</f>
        <v>2374</v>
      </c>
    </row>
    <row r="41" spans="1:12" s="6" customFormat="1" x14ac:dyDescent="0.3">
      <c r="A41" s="16" t="s">
        <v>4</v>
      </c>
      <c r="B41" s="17">
        <f t="shared" ref="B41:K41" si="2">SUM(B29:B40)</f>
        <v>1980</v>
      </c>
      <c r="C41" s="17">
        <f t="shared" si="2"/>
        <v>8234</v>
      </c>
      <c r="D41" s="17">
        <f t="shared" si="2"/>
        <v>3408</v>
      </c>
      <c r="E41" s="17">
        <f t="shared" si="2"/>
        <v>10352</v>
      </c>
      <c r="F41" s="17">
        <f t="shared" si="2"/>
        <v>13841</v>
      </c>
      <c r="G41" s="17">
        <f t="shared" si="2"/>
        <v>4825</v>
      </c>
      <c r="H41" s="17">
        <f t="shared" si="2"/>
        <v>3006</v>
      </c>
      <c r="I41" s="17">
        <f t="shared" si="2"/>
        <v>11253</v>
      </c>
      <c r="J41" s="17">
        <f t="shared" si="2"/>
        <v>5831</v>
      </c>
      <c r="K41" s="10">
        <f t="shared" si="2"/>
        <v>5687</v>
      </c>
      <c r="L41" s="10">
        <f t="shared" ref="L41" si="3">SUM(L29:L40)</f>
        <v>68417</v>
      </c>
    </row>
    <row r="42" spans="1:12" s="6" customFormat="1" x14ac:dyDescent="0.3">
      <c r="A42" s="18"/>
      <c r="B42" s="19"/>
      <c r="C42" s="25"/>
      <c r="D42" s="19"/>
      <c r="E42" s="25"/>
      <c r="F42" s="25"/>
      <c r="G42" s="25"/>
      <c r="H42" s="19"/>
      <c r="I42" s="19"/>
      <c r="J42" s="26"/>
    </row>
    <row r="43" spans="1:12" s="6" customFormat="1" ht="15.6" x14ac:dyDescent="0.3">
      <c r="A43" s="27" t="s">
        <v>0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 s="6" customFormat="1" x14ac:dyDescent="0.3">
      <c r="A44" s="28" t="s">
        <v>11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2" s="6" customFormat="1" x14ac:dyDescent="0.3">
      <c r="A45" s="5" t="s">
        <v>55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s="6" customFormat="1" x14ac:dyDescent="0.3">
      <c r="A46" s="7" t="s">
        <v>52</v>
      </c>
      <c r="B46" s="23" t="s">
        <v>2</v>
      </c>
      <c r="C46" s="23"/>
      <c r="D46" s="23"/>
      <c r="E46" s="23"/>
      <c r="F46" s="23" t="s">
        <v>3</v>
      </c>
      <c r="G46" s="23"/>
      <c r="H46" s="23"/>
      <c r="I46" s="23"/>
      <c r="J46" s="23"/>
      <c r="K46" s="23"/>
      <c r="L46" s="7" t="s">
        <v>4</v>
      </c>
    </row>
    <row r="47" spans="1:12" s="6" customFormat="1" x14ac:dyDescent="0.3">
      <c r="A47" s="7"/>
      <c r="B47" s="11" t="s">
        <v>5</v>
      </c>
      <c r="C47" s="11" t="s">
        <v>6</v>
      </c>
      <c r="D47" s="11" t="s">
        <v>7</v>
      </c>
      <c r="E47" s="11" t="s">
        <v>8</v>
      </c>
      <c r="F47" s="11" t="s">
        <v>42</v>
      </c>
      <c r="G47" s="11" t="s">
        <v>43</v>
      </c>
      <c r="H47" s="11" t="s">
        <v>53</v>
      </c>
      <c r="I47" s="11" t="s">
        <v>44</v>
      </c>
      <c r="J47" s="11" t="s">
        <v>45</v>
      </c>
      <c r="K47" s="10" t="s">
        <v>51</v>
      </c>
      <c r="L47" s="7"/>
    </row>
    <row r="48" spans="1:12" s="6" customFormat="1" x14ac:dyDescent="0.3">
      <c r="A48" s="7"/>
      <c r="B48" s="10" t="s">
        <v>9</v>
      </c>
      <c r="C48" s="10" t="s">
        <v>9</v>
      </c>
      <c r="D48" s="10" t="s">
        <v>9</v>
      </c>
      <c r="E48" s="10" t="s">
        <v>9</v>
      </c>
      <c r="F48" s="10" t="s">
        <v>9</v>
      </c>
      <c r="G48" s="10" t="s">
        <v>9</v>
      </c>
      <c r="H48" s="10" t="s">
        <v>9</v>
      </c>
      <c r="I48" s="10" t="s">
        <v>9</v>
      </c>
      <c r="J48" s="10" t="s">
        <v>9</v>
      </c>
      <c r="K48" s="10" t="s">
        <v>9</v>
      </c>
      <c r="L48" s="10" t="s">
        <v>9</v>
      </c>
    </row>
    <row r="49" spans="1:12" s="6" customFormat="1" x14ac:dyDescent="0.3">
      <c r="A49" s="29" t="s">
        <v>12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1">
        <v>0</v>
      </c>
      <c r="K49" s="14">
        <v>0</v>
      </c>
      <c r="L49" s="15">
        <f>B49+C49+D49+E49+F49+G49+H49+I49+J49+K49</f>
        <v>0</v>
      </c>
    </row>
    <row r="50" spans="1:12" s="6" customFormat="1" x14ac:dyDescent="0.3">
      <c r="A50" s="29" t="s">
        <v>27</v>
      </c>
      <c r="B50" s="30">
        <v>1</v>
      </c>
      <c r="C50" s="30">
        <v>1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1">
        <v>0</v>
      </c>
      <c r="K50" s="14">
        <v>0</v>
      </c>
      <c r="L50" s="15">
        <f>B50+C50+D50+E50+F50+G50+H50+I50+J50+K50</f>
        <v>2</v>
      </c>
    </row>
    <row r="51" spans="1:12" s="6" customFormat="1" x14ac:dyDescent="0.3">
      <c r="A51" s="29" t="s">
        <v>13</v>
      </c>
      <c r="B51" s="30">
        <v>58</v>
      </c>
      <c r="C51" s="30">
        <v>147</v>
      </c>
      <c r="D51" s="30">
        <v>83</v>
      </c>
      <c r="E51" s="30">
        <v>148</v>
      </c>
      <c r="F51" s="30">
        <v>152</v>
      </c>
      <c r="G51" s="30">
        <v>87</v>
      </c>
      <c r="H51" s="30">
        <v>72</v>
      </c>
      <c r="I51" s="30">
        <v>94</v>
      </c>
      <c r="J51" s="31">
        <v>127</v>
      </c>
      <c r="K51" s="14">
        <v>117</v>
      </c>
      <c r="L51" s="15">
        <f>B51+C51+D51+E51+F51+G51+H51+I51+J51+K51</f>
        <v>1085</v>
      </c>
    </row>
    <row r="52" spans="1:12" s="6" customFormat="1" x14ac:dyDescent="0.3">
      <c r="A52" s="29" t="s">
        <v>14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1">
        <v>0</v>
      </c>
      <c r="K52" s="14">
        <v>0</v>
      </c>
      <c r="L52" s="15">
        <f>B52+C52+D52+E52+F52+G52+H52+I52+J52+K52</f>
        <v>0</v>
      </c>
    </row>
    <row r="53" spans="1:12" s="6" customFormat="1" x14ac:dyDescent="0.3">
      <c r="A53" s="29" t="s">
        <v>15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1">
        <v>0</v>
      </c>
      <c r="K53" s="14">
        <v>0</v>
      </c>
      <c r="L53" s="15">
        <f>B53+C53+D53+E53+F53+G53+H53+I53+J53+K53</f>
        <v>0</v>
      </c>
    </row>
    <row r="54" spans="1:12" s="6" customFormat="1" x14ac:dyDescent="0.3">
      <c r="A54" s="29" t="s">
        <v>16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1">
        <v>0</v>
      </c>
      <c r="K54" s="14">
        <v>0</v>
      </c>
      <c r="L54" s="15">
        <f>B54+C54+D54+E54+F54+G54+H54+I54+J54+K54</f>
        <v>0</v>
      </c>
    </row>
    <row r="55" spans="1:12" s="6" customFormat="1" x14ac:dyDescent="0.3">
      <c r="A55" s="29" t="s">
        <v>17</v>
      </c>
      <c r="B55" s="30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1">
        <v>0</v>
      </c>
      <c r="K55" s="14">
        <v>0</v>
      </c>
      <c r="L55" s="15">
        <f>B55+C55+D55+E55+F55+G55+H55+I55+J55+K55</f>
        <v>0</v>
      </c>
    </row>
    <row r="56" spans="1:12" s="6" customFormat="1" x14ac:dyDescent="0.3">
      <c r="A56" s="29" t="s">
        <v>26</v>
      </c>
      <c r="B56" s="30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1">
        <v>0</v>
      </c>
      <c r="K56" s="14">
        <v>0</v>
      </c>
      <c r="L56" s="15">
        <f>B56+C56+D56+E56+F56+G56+H56+I56+J56+K56</f>
        <v>0</v>
      </c>
    </row>
    <row r="57" spans="1:12" s="6" customFormat="1" x14ac:dyDescent="0.3">
      <c r="A57" s="29" t="s">
        <v>18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1">
        <v>0</v>
      </c>
      <c r="K57" s="14">
        <v>0</v>
      </c>
      <c r="L57" s="15">
        <f>B57+C57+D57+E57+F57+G57+H57+I57+J57+K57</f>
        <v>0</v>
      </c>
    </row>
    <row r="58" spans="1:12" s="6" customFormat="1" x14ac:dyDescent="0.3">
      <c r="A58" s="29" t="s">
        <v>19</v>
      </c>
      <c r="B58" s="30">
        <v>9</v>
      </c>
      <c r="C58" s="30">
        <v>5</v>
      </c>
      <c r="D58" s="30">
        <v>1</v>
      </c>
      <c r="E58" s="30">
        <v>3</v>
      </c>
      <c r="F58" s="30">
        <v>1</v>
      </c>
      <c r="G58" s="30">
        <v>0</v>
      </c>
      <c r="H58" s="30">
        <v>0</v>
      </c>
      <c r="I58" s="30">
        <v>0</v>
      </c>
      <c r="J58" s="31">
        <v>0</v>
      </c>
      <c r="K58" s="14">
        <v>1</v>
      </c>
      <c r="L58" s="15">
        <f>B58+C58+D58+E58+F58+G58+H58+I58+J58+K58</f>
        <v>20</v>
      </c>
    </row>
    <row r="59" spans="1:12" s="6" customFormat="1" x14ac:dyDescent="0.3">
      <c r="A59" s="29" t="s">
        <v>20</v>
      </c>
      <c r="B59" s="30">
        <v>0</v>
      </c>
      <c r="C59" s="30">
        <v>2</v>
      </c>
      <c r="D59" s="30">
        <v>0</v>
      </c>
      <c r="E59" s="30">
        <v>0</v>
      </c>
      <c r="F59" s="30">
        <v>1</v>
      </c>
      <c r="G59" s="30">
        <v>0</v>
      </c>
      <c r="H59" s="30">
        <v>0</v>
      </c>
      <c r="I59" s="30">
        <v>0</v>
      </c>
      <c r="J59" s="31">
        <v>0</v>
      </c>
      <c r="K59" s="14">
        <v>0</v>
      </c>
      <c r="L59" s="15">
        <f>B59+C59+D59+E59+F59+G59+H59+I59+J59+K59</f>
        <v>3</v>
      </c>
    </row>
    <row r="60" spans="1:12" s="6" customFormat="1" x14ac:dyDescent="0.3">
      <c r="A60" s="29" t="s">
        <v>21</v>
      </c>
      <c r="B60" s="30">
        <v>0</v>
      </c>
      <c r="C60" s="30">
        <v>0</v>
      </c>
      <c r="D60" s="30">
        <v>0</v>
      </c>
      <c r="E60" s="30">
        <v>20</v>
      </c>
      <c r="F60" s="30">
        <v>0</v>
      </c>
      <c r="G60" s="30">
        <v>1</v>
      </c>
      <c r="H60" s="30">
        <v>0</v>
      </c>
      <c r="I60" s="30">
        <v>11</v>
      </c>
      <c r="J60" s="31">
        <v>7</v>
      </c>
      <c r="K60" s="14">
        <v>2</v>
      </c>
      <c r="L60" s="15">
        <f>B60+C60+D60+E60+F60+G60+H60+I60+J60+K60</f>
        <v>41</v>
      </c>
    </row>
    <row r="61" spans="1:12" s="6" customFormat="1" x14ac:dyDescent="0.3">
      <c r="A61" s="29" t="s">
        <v>22</v>
      </c>
      <c r="B61" s="30">
        <v>0</v>
      </c>
      <c r="C61" s="30">
        <v>0</v>
      </c>
      <c r="D61" s="30">
        <v>0</v>
      </c>
      <c r="E61" s="30">
        <v>0</v>
      </c>
      <c r="F61" s="30">
        <v>1</v>
      </c>
      <c r="G61" s="30">
        <v>0</v>
      </c>
      <c r="H61" s="30">
        <v>0</v>
      </c>
      <c r="I61" s="30">
        <v>0</v>
      </c>
      <c r="J61" s="31">
        <v>0</v>
      </c>
      <c r="K61" s="14">
        <v>0</v>
      </c>
      <c r="L61" s="15">
        <f>B61+C61+D61+E61+F61+G61+H61+I61+J61+K61</f>
        <v>1</v>
      </c>
    </row>
    <row r="62" spans="1:12" s="6" customFormat="1" x14ac:dyDescent="0.3">
      <c r="A62" s="29" t="s">
        <v>23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1">
        <v>0</v>
      </c>
      <c r="K62" s="14">
        <v>0</v>
      </c>
      <c r="L62" s="15">
        <f>B62+C62+D62+E62+F62+G62+H62+I62+J62+K62</f>
        <v>0</v>
      </c>
    </row>
    <row r="63" spans="1:12" s="6" customFormat="1" x14ac:dyDescent="0.3">
      <c r="A63" s="29" t="s">
        <v>24</v>
      </c>
      <c r="B63" s="30">
        <v>0</v>
      </c>
      <c r="C63" s="30">
        <v>25</v>
      </c>
      <c r="D63" s="30">
        <v>1</v>
      </c>
      <c r="E63" s="30">
        <v>0</v>
      </c>
      <c r="F63" s="30">
        <v>35</v>
      </c>
      <c r="G63" s="30">
        <v>20</v>
      </c>
      <c r="H63" s="30">
        <v>0</v>
      </c>
      <c r="I63" s="30">
        <v>0</v>
      </c>
      <c r="J63" s="31">
        <v>5</v>
      </c>
      <c r="K63" s="14">
        <v>8</v>
      </c>
      <c r="L63" s="15">
        <f>B63+C63+D63+E63+F63+G63+H63+I63+J63+K63</f>
        <v>94</v>
      </c>
    </row>
    <row r="64" spans="1:12" s="6" customFormat="1" x14ac:dyDescent="0.3">
      <c r="A64" s="29" t="s">
        <v>31</v>
      </c>
      <c r="B64" s="30">
        <v>0</v>
      </c>
      <c r="C64" s="30">
        <v>0</v>
      </c>
      <c r="D64" s="30">
        <v>2</v>
      </c>
      <c r="E64" s="30">
        <v>0</v>
      </c>
      <c r="F64" s="30">
        <v>2</v>
      </c>
      <c r="G64" s="30">
        <v>0</v>
      </c>
      <c r="H64" s="30">
        <v>0</v>
      </c>
      <c r="I64" s="30">
        <v>0</v>
      </c>
      <c r="J64" s="31">
        <v>0</v>
      </c>
      <c r="K64" s="14">
        <v>5</v>
      </c>
      <c r="L64" s="15">
        <f>B64+C64+D64+E64+F64+G64+H64+I64+J64+K64</f>
        <v>9</v>
      </c>
    </row>
    <row r="65" spans="1:12" s="6" customFormat="1" x14ac:dyDescent="0.3">
      <c r="A65" s="29" t="s">
        <v>32</v>
      </c>
      <c r="B65" s="30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1">
        <v>0</v>
      </c>
      <c r="K65" s="14">
        <v>0</v>
      </c>
      <c r="L65" s="15">
        <f>B65+C65+D65+E65+F65+G65+H65+I65+J65+K65</f>
        <v>0</v>
      </c>
    </row>
    <row r="66" spans="1:12" s="6" customFormat="1" x14ac:dyDescent="0.3">
      <c r="A66" s="29" t="s">
        <v>56</v>
      </c>
      <c r="B66" s="30">
        <v>1</v>
      </c>
      <c r="C66" s="30">
        <v>4</v>
      </c>
      <c r="D66" s="30">
        <v>4</v>
      </c>
      <c r="E66" s="30">
        <v>9</v>
      </c>
      <c r="F66" s="30">
        <v>1</v>
      </c>
      <c r="G66" s="30">
        <v>0</v>
      </c>
      <c r="H66" s="30">
        <v>0</v>
      </c>
      <c r="I66" s="30">
        <v>13</v>
      </c>
      <c r="J66" s="31">
        <v>0</v>
      </c>
      <c r="K66" s="14">
        <v>4</v>
      </c>
      <c r="L66" s="15">
        <f>B66+C66+D66+E66+F66+G66+H66+I66+J66+K66</f>
        <v>36</v>
      </c>
    </row>
    <row r="67" spans="1:12" s="6" customFormat="1" x14ac:dyDescent="0.3">
      <c r="A67" s="29" t="s">
        <v>54</v>
      </c>
      <c r="B67" s="30">
        <v>0</v>
      </c>
      <c r="C67" s="30">
        <v>5</v>
      </c>
      <c r="D67" s="30">
        <v>0</v>
      </c>
      <c r="E67" s="30">
        <v>0</v>
      </c>
      <c r="F67" s="30">
        <v>6</v>
      </c>
      <c r="G67" s="30">
        <v>0</v>
      </c>
      <c r="H67" s="30">
        <v>0</v>
      </c>
      <c r="I67" s="30">
        <v>1</v>
      </c>
      <c r="J67" s="31">
        <v>0</v>
      </c>
      <c r="K67" s="14">
        <v>0</v>
      </c>
      <c r="L67" s="15">
        <f>B67+C67+D67+E67+F67+G67+H67+I67+J67+K67</f>
        <v>12</v>
      </c>
    </row>
    <row r="68" spans="1:12" s="6" customFormat="1" x14ac:dyDescent="0.3">
      <c r="A68" s="29" t="s">
        <v>50</v>
      </c>
      <c r="B68" s="30">
        <v>0</v>
      </c>
      <c r="C68" s="30">
        <v>0</v>
      </c>
      <c r="D68" s="30">
        <v>0</v>
      </c>
      <c r="E68" s="30">
        <v>0</v>
      </c>
      <c r="F68" s="30">
        <v>11</v>
      </c>
      <c r="G68" s="30">
        <v>1</v>
      </c>
      <c r="H68" s="30">
        <v>0</v>
      </c>
      <c r="I68" s="30">
        <v>2</v>
      </c>
      <c r="J68" s="31">
        <v>0</v>
      </c>
      <c r="K68" s="14">
        <v>2</v>
      </c>
      <c r="L68" s="15">
        <f>B68+C68+D68+E68+F68+G68+H68+I68+J68+K68</f>
        <v>16</v>
      </c>
    </row>
    <row r="69" spans="1:12" s="6" customFormat="1" x14ac:dyDescent="0.3">
      <c r="A69" s="29" t="s">
        <v>49</v>
      </c>
      <c r="B69" s="30">
        <v>0</v>
      </c>
      <c r="C69" s="30">
        <v>6</v>
      </c>
      <c r="D69" s="30">
        <v>0</v>
      </c>
      <c r="E69" s="30">
        <v>4</v>
      </c>
      <c r="F69" s="30">
        <v>2</v>
      </c>
      <c r="G69" s="30">
        <v>7</v>
      </c>
      <c r="H69" s="30">
        <v>0</v>
      </c>
      <c r="I69" s="30">
        <v>4</v>
      </c>
      <c r="J69" s="31">
        <v>3</v>
      </c>
      <c r="K69" s="14">
        <v>2</v>
      </c>
      <c r="L69" s="15">
        <f>B69+C69+D69+E69+F69+G69+H69+I69+J69+K69</f>
        <v>28</v>
      </c>
    </row>
    <row r="70" spans="1:12" s="6" customFormat="1" x14ac:dyDescent="0.3">
      <c r="A70" s="32" t="s">
        <v>4</v>
      </c>
      <c r="B70" s="10">
        <f t="shared" ref="B70:K70" si="4">SUM(B49:B69)</f>
        <v>69</v>
      </c>
      <c r="C70" s="10">
        <f t="shared" si="4"/>
        <v>195</v>
      </c>
      <c r="D70" s="10">
        <f t="shared" si="4"/>
        <v>91</v>
      </c>
      <c r="E70" s="10">
        <f t="shared" si="4"/>
        <v>184</v>
      </c>
      <c r="F70" s="10">
        <f t="shared" si="4"/>
        <v>212</v>
      </c>
      <c r="G70" s="10">
        <f t="shared" si="4"/>
        <v>116</v>
      </c>
      <c r="H70" s="10">
        <f t="shared" si="4"/>
        <v>72</v>
      </c>
      <c r="I70" s="10">
        <f t="shared" si="4"/>
        <v>125</v>
      </c>
      <c r="J70" s="10">
        <f t="shared" si="4"/>
        <v>142</v>
      </c>
      <c r="K70" s="10">
        <f t="shared" si="4"/>
        <v>141</v>
      </c>
      <c r="L70" s="10">
        <f t="shared" ref="L70" si="5">SUM(L49:L69)</f>
        <v>1347</v>
      </c>
    </row>
    <row r="71" spans="1:12" s="6" customFormat="1" x14ac:dyDescent="0.3"/>
    <row r="72" spans="1:12" s="6" customFormat="1" x14ac:dyDescent="0.3"/>
    <row r="73" spans="1:12" s="6" customFormat="1" x14ac:dyDescent="0.3"/>
    <row r="74" spans="1:12" s="6" customFormat="1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1:12" x14ac:dyDescent="0.3">
      <c r="A75" s="1" t="s">
        <v>33</v>
      </c>
    </row>
    <row r="76" spans="1:12" ht="15.6" x14ac:dyDescent="0.3">
      <c r="F76" s="2"/>
    </row>
    <row r="77" spans="1:12" ht="15.6" x14ac:dyDescent="0.3">
      <c r="F77" s="3"/>
    </row>
    <row r="78" spans="1:12" ht="15.6" x14ac:dyDescent="0.3">
      <c r="F78" s="3"/>
    </row>
  </sheetData>
  <mergeCells count="22">
    <mergeCell ref="F5:K5"/>
    <mergeCell ref="F26:K26"/>
    <mergeCell ref="L26:L27"/>
    <mergeCell ref="A23:L23"/>
    <mergeCell ref="A24:L24"/>
    <mergeCell ref="A25:L25"/>
    <mergeCell ref="A26:A28"/>
    <mergeCell ref="F46:K46"/>
    <mergeCell ref="A46:A48"/>
    <mergeCell ref="B26:E26"/>
    <mergeCell ref="A2:L2"/>
    <mergeCell ref="A3:L3"/>
    <mergeCell ref="A4:L4"/>
    <mergeCell ref="L5:L6"/>
    <mergeCell ref="A5:A7"/>
    <mergeCell ref="B5:E5"/>
    <mergeCell ref="A74:L74"/>
    <mergeCell ref="A43:L43"/>
    <mergeCell ref="A44:L44"/>
    <mergeCell ref="A45:L45"/>
    <mergeCell ref="B46:E46"/>
    <mergeCell ref="L46:L47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landscape" horizontalDpi="360" verticalDpi="360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Usuario</cp:lastModifiedBy>
  <cp:lastPrinted>2025-01-15T16:02:49Z</cp:lastPrinted>
  <dcterms:created xsi:type="dcterms:W3CDTF">2022-07-11T13:01:47Z</dcterms:created>
  <dcterms:modified xsi:type="dcterms:W3CDTF">2026-01-13T19:37:56Z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