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Actividades 4to trimestre 2025\"/>
    </mc:Choice>
  </mc:AlternateContent>
  <bookViews>
    <workbookView xWindow="0" yWindow="0" windowWidth="15408" windowHeight="4392"/>
  </bookViews>
  <sheets>
    <sheet name="Enero-Diciembr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0" i="1" l="1"/>
  <c r="N39" i="1"/>
  <c r="N38" i="1"/>
  <c r="N37" i="1"/>
  <c r="N36" i="1"/>
  <c r="N35" i="1"/>
  <c r="N34" i="1"/>
  <c r="N31" i="1"/>
  <c r="N30" i="1"/>
  <c r="N29" i="1"/>
  <c r="R39" i="1"/>
  <c r="R38" i="1"/>
  <c r="R37" i="1"/>
  <c r="R36" i="1"/>
  <c r="R35" i="1"/>
  <c r="R34" i="1"/>
  <c r="R33" i="1"/>
  <c r="R32" i="1"/>
  <c r="R31" i="1"/>
  <c r="R30" i="1"/>
  <c r="R29" i="1"/>
  <c r="P40" i="1"/>
  <c r="P39" i="1"/>
  <c r="P38" i="1"/>
  <c r="P37" i="1"/>
  <c r="P36" i="1"/>
  <c r="P35" i="1"/>
  <c r="P34" i="1"/>
  <c r="P33" i="1"/>
  <c r="P32" i="1"/>
  <c r="P31" i="1"/>
  <c r="P30" i="1"/>
  <c r="P29" i="1"/>
  <c r="L40" i="1"/>
  <c r="L39" i="1"/>
  <c r="L38" i="1"/>
  <c r="L37" i="1"/>
  <c r="L36" i="1"/>
  <c r="L35" i="1"/>
  <c r="L34" i="1"/>
  <c r="L33" i="1"/>
  <c r="L32" i="1"/>
  <c r="L31" i="1"/>
  <c r="L30" i="1"/>
  <c r="L29" i="1"/>
  <c r="J40" i="1"/>
  <c r="J39" i="1"/>
  <c r="J38" i="1"/>
  <c r="J37" i="1"/>
  <c r="J36" i="1"/>
  <c r="J35" i="1"/>
  <c r="J34" i="1"/>
  <c r="J33" i="1"/>
  <c r="J32" i="1"/>
  <c r="J31" i="1"/>
  <c r="J30" i="1"/>
  <c r="J29" i="1"/>
  <c r="T40" i="1"/>
  <c r="T39" i="1"/>
  <c r="T38" i="1"/>
  <c r="T37" i="1"/>
  <c r="T36" i="1"/>
  <c r="T35" i="1"/>
  <c r="T34" i="1"/>
  <c r="T33" i="1"/>
  <c r="T32" i="1"/>
  <c r="T31" i="1"/>
  <c r="T30" i="1"/>
  <c r="T29" i="1"/>
  <c r="B40" i="1"/>
  <c r="B39" i="1"/>
  <c r="B38" i="1"/>
  <c r="B37" i="1"/>
  <c r="B36" i="1"/>
  <c r="B35" i="1"/>
  <c r="B34" i="1"/>
  <c r="B33" i="1"/>
  <c r="B32" i="1"/>
  <c r="B31" i="1"/>
  <c r="B30" i="1"/>
  <c r="B29" i="1"/>
  <c r="D40" i="1"/>
  <c r="D39" i="1"/>
  <c r="D38" i="1"/>
  <c r="D37" i="1"/>
  <c r="D36" i="1"/>
  <c r="D35" i="1"/>
  <c r="D34" i="1"/>
  <c r="D33" i="1"/>
  <c r="D32" i="1"/>
  <c r="D31" i="1"/>
  <c r="D30" i="1"/>
  <c r="D29" i="1"/>
  <c r="H39" i="1"/>
  <c r="H38" i="1"/>
  <c r="H37" i="1"/>
  <c r="H36" i="1"/>
  <c r="H35" i="1"/>
  <c r="H34" i="1"/>
  <c r="H33" i="1"/>
  <c r="H32" i="1"/>
  <c r="H31" i="1"/>
  <c r="H30" i="1"/>
  <c r="H29" i="1"/>
  <c r="F40" i="1"/>
  <c r="F39" i="1"/>
  <c r="F38" i="1"/>
  <c r="F37" i="1"/>
  <c r="F36" i="1"/>
  <c r="F35" i="1"/>
  <c r="F34" i="1"/>
  <c r="F33" i="1"/>
  <c r="F32" i="1"/>
  <c r="F31" i="1"/>
  <c r="F30" i="1"/>
  <c r="F29" i="1"/>
  <c r="V68" i="1" l="1"/>
  <c r="V100" i="1"/>
  <c r="V37" i="1"/>
  <c r="V38" i="1"/>
  <c r="V35" i="1"/>
  <c r="V36" i="1"/>
  <c r="V31" i="1"/>
  <c r="V29" i="1"/>
  <c r="V30" i="1"/>
  <c r="V82" i="1"/>
  <c r="V83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81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9" i="1"/>
  <c r="V70" i="1"/>
  <c r="V50" i="1"/>
  <c r="V34" i="1"/>
  <c r="V40" i="1"/>
  <c r="V9" i="1"/>
  <c r="V10" i="1"/>
  <c r="V11" i="1"/>
  <c r="V12" i="1"/>
  <c r="V13" i="1"/>
  <c r="V14" i="1"/>
  <c r="V15" i="1"/>
  <c r="V16" i="1"/>
  <c r="V17" i="1"/>
  <c r="V18" i="1"/>
  <c r="V19" i="1"/>
  <c r="V8" i="1"/>
  <c r="V32" i="1" l="1"/>
  <c r="V39" i="1"/>
  <c r="V84" i="1"/>
  <c r="V114" i="1" s="1"/>
  <c r="V33" i="1"/>
  <c r="V41" i="1" l="1"/>
  <c r="W100" i="1"/>
  <c r="V71" i="1"/>
  <c r="W68" i="1" s="1"/>
  <c r="V20" i="1"/>
  <c r="B114" i="1"/>
  <c r="C100" i="1" s="1"/>
  <c r="R71" i="1"/>
  <c r="P71" i="1"/>
  <c r="Q68" i="1" s="1"/>
  <c r="N71" i="1"/>
  <c r="O68" i="1" s="1"/>
  <c r="L71" i="1"/>
  <c r="M68" i="1" s="1"/>
  <c r="J71" i="1"/>
  <c r="K68" i="1" s="1"/>
  <c r="H71" i="1"/>
  <c r="I68" i="1" s="1"/>
  <c r="F71" i="1"/>
  <c r="G68" i="1" s="1"/>
  <c r="D71" i="1"/>
  <c r="E68" i="1" s="1"/>
  <c r="B71" i="1"/>
  <c r="C68" i="1" s="1"/>
  <c r="R41" i="1"/>
  <c r="S31" i="1" s="1"/>
  <c r="P41" i="1"/>
  <c r="Q33" i="1" s="1"/>
  <c r="N41" i="1"/>
  <c r="O32" i="1" s="1"/>
  <c r="L41" i="1"/>
  <c r="M30" i="1" s="1"/>
  <c r="J41" i="1"/>
  <c r="K32" i="1" s="1"/>
  <c r="H41" i="1"/>
  <c r="I30" i="1" s="1"/>
  <c r="F41" i="1"/>
  <c r="G32" i="1" s="1"/>
  <c r="D41" i="1"/>
  <c r="E30" i="1" s="1"/>
  <c r="B41" i="1"/>
  <c r="C33" i="1" s="1"/>
  <c r="S59" i="1" l="1"/>
  <c r="S68" i="1"/>
  <c r="W9" i="1"/>
  <c r="W13" i="1"/>
  <c r="W17" i="1"/>
  <c r="W16" i="1"/>
  <c r="W19" i="1"/>
  <c r="W18" i="1"/>
  <c r="W8" i="1"/>
  <c r="W15" i="1"/>
  <c r="W10" i="1"/>
  <c r="W12" i="1"/>
  <c r="W11" i="1"/>
  <c r="W14" i="1"/>
  <c r="W67" i="1"/>
  <c r="W51" i="1"/>
  <c r="W69" i="1"/>
  <c r="W65" i="1"/>
  <c r="W61" i="1"/>
  <c r="W59" i="1"/>
  <c r="W54" i="1"/>
  <c r="W52" i="1"/>
  <c r="W58" i="1"/>
  <c r="W56" i="1"/>
  <c r="W50" i="1"/>
  <c r="W70" i="1"/>
  <c r="W63" i="1"/>
  <c r="W62" i="1"/>
  <c r="W64" i="1"/>
  <c r="W66" i="1"/>
  <c r="W60" i="1"/>
  <c r="W53" i="1"/>
  <c r="W57" i="1"/>
  <c r="W55" i="1"/>
  <c r="S63" i="1"/>
  <c r="W86" i="1"/>
  <c r="W90" i="1"/>
  <c r="W94" i="1"/>
  <c r="W98" i="1"/>
  <c r="W103" i="1"/>
  <c r="W107" i="1"/>
  <c r="W111" i="1"/>
  <c r="W83" i="1"/>
  <c r="W87" i="1"/>
  <c r="W91" i="1"/>
  <c r="W95" i="1"/>
  <c r="W99" i="1"/>
  <c r="W104" i="1"/>
  <c r="W108" i="1"/>
  <c r="W112" i="1"/>
  <c r="W84" i="1"/>
  <c r="W88" i="1"/>
  <c r="W92" i="1"/>
  <c r="W96" i="1"/>
  <c r="W101" i="1"/>
  <c r="W105" i="1"/>
  <c r="W109" i="1"/>
  <c r="W113" i="1"/>
  <c r="W85" i="1"/>
  <c r="W89" i="1"/>
  <c r="W93" i="1"/>
  <c r="W97" i="1"/>
  <c r="W102" i="1"/>
  <c r="W106" i="1"/>
  <c r="W110" i="1"/>
  <c r="W81" i="1"/>
  <c r="W82" i="1"/>
  <c r="W30" i="1"/>
  <c r="W34" i="1"/>
  <c r="W38" i="1"/>
  <c r="W31" i="1"/>
  <c r="W35" i="1"/>
  <c r="W39" i="1"/>
  <c r="W36" i="1"/>
  <c r="W40" i="1"/>
  <c r="W37" i="1"/>
  <c r="W32" i="1"/>
  <c r="W33" i="1"/>
  <c r="W29" i="1"/>
  <c r="O39" i="1"/>
  <c r="O35" i="1"/>
  <c r="K31" i="1"/>
  <c r="I29" i="1"/>
  <c r="I40" i="1"/>
  <c r="I32" i="1"/>
  <c r="I37" i="1"/>
  <c r="G35" i="1"/>
  <c r="G31" i="1"/>
  <c r="S52" i="1"/>
  <c r="S69" i="1"/>
  <c r="S55" i="1"/>
  <c r="S67" i="1"/>
  <c r="S51" i="1"/>
  <c r="Q70" i="1"/>
  <c r="Q69" i="1"/>
  <c r="O70" i="1"/>
  <c r="O69" i="1"/>
  <c r="M70" i="1"/>
  <c r="M69" i="1"/>
  <c r="I70" i="1"/>
  <c r="I69" i="1"/>
  <c r="G70" i="1"/>
  <c r="G69" i="1"/>
  <c r="E70" i="1"/>
  <c r="E69" i="1"/>
  <c r="C55" i="1"/>
  <c r="C69" i="1"/>
  <c r="C63" i="1"/>
  <c r="C52" i="1"/>
  <c r="C62" i="1"/>
  <c r="C54" i="1"/>
  <c r="C67" i="1"/>
  <c r="C59" i="1"/>
  <c r="C51" i="1"/>
  <c r="C66" i="1"/>
  <c r="C58" i="1"/>
  <c r="K70" i="1"/>
  <c r="K69" i="1"/>
  <c r="S62" i="1"/>
  <c r="I36" i="1"/>
  <c r="K39" i="1"/>
  <c r="M29" i="1"/>
  <c r="O31" i="1"/>
  <c r="S37" i="1"/>
  <c r="C65" i="1"/>
  <c r="C61" i="1"/>
  <c r="C57" i="1"/>
  <c r="C53" i="1"/>
  <c r="S50" i="1"/>
  <c r="S65" i="1"/>
  <c r="S61" i="1"/>
  <c r="S57" i="1"/>
  <c r="S53" i="1"/>
  <c r="S33" i="1"/>
  <c r="T71" i="1"/>
  <c r="U68" i="1" s="1"/>
  <c r="S38" i="1"/>
  <c r="S30" i="1"/>
  <c r="S66" i="1"/>
  <c r="S58" i="1"/>
  <c r="S54" i="1"/>
  <c r="G39" i="1"/>
  <c r="I33" i="1"/>
  <c r="K35" i="1"/>
  <c r="S34" i="1"/>
  <c r="C70" i="1"/>
  <c r="C64" i="1"/>
  <c r="C60" i="1"/>
  <c r="C56" i="1"/>
  <c r="S70" i="1"/>
  <c r="S64" i="1"/>
  <c r="S60" i="1"/>
  <c r="S56" i="1"/>
  <c r="Q31" i="1"/>
  <c r="Q36" i="1"/>
  <c r="Q35" i="1"/>
  <c r="Q30" i="1"/>
  <c r="Q39" i="1"/>
  <c r="Q40" i="1"/>
  <c r="Q32" i="1"/>
  <c r="Q29" i="1"/>
  <c r="M33" i="1"/>
  <c r="M40" i="1"/>
  <c r="M32" i="1"/>
  <c r="M37" i="1"/>
  <c r="M36" i="1"/>
  <c r="E36" i="1"/>
  <c r="E37" i="1"/>
  <c r="E29" i="1"/>
  <c r="E33" i="1"/>
  <c r="E40" i="1"/>
  <c r="E32" i="1"/>
  <c r="C32" i="1"/>
  <c r="C36" i="1"/>
  <c r="C40" i="1"/>
  <c r="C39" i="1"/>
  <c r="C31" i="1"/>
  <c r="G34" i="1"/>
  <c r="G30" i="1"/>
  <c r="K38" i="1"/>
  <c r="K30" i="1"/>
  <c r="O38" i="1"/>
  <c r="O30" i="1"/>
  <c r="C38" i="1"/>
  <c r="C34" i="1"/>
  <c r="C30" i="1"/>
  <c r="E39" i="1"/>
  <c r="E35" i="1"/>
  <c r="E31" i="1"/>
  <c r="G29" i="1"/>
  <c r="G37" i="1"/>
  <c r="G33" i="1"/>
  <c r="I39" i="1"/>
  <c r="I35" i="1"/>
  <c r="I31" i="1"/>
  <c r="K29" i="1"/>
  <c r="K37" i="1"/>
  <c r="K33" i="1"/>
  <c r="M39" i="1"/>
  <c r="M35" i="1"/>
  <c r="M31" i="1"/>
  <c r="O29" i="1"/>
  <c r="O37" i="1"/>
  <c r="O33" i="1"/>
  <c r="Q38" i="1"/>
  <c r="Q34" i="1"/>
  <c r="S40" i="1"/>
  <c r="S36" i="1"/>
  <c r="S32" i="1"/>
  <c r="T41" i="1"/>
  <c r="C35" i="1"/>
  <c r="G38" i="1"/>
  <c r="K34" i="1"/>
  <c r="O34" i="1"/>
  <c r="C29" i="1"/>
  <c r="C37" i="1"/>
  <c r="E38" i="1"/>
  <c r="E34" i="1"/>
  <c r="G40" i="1"/>
  <c r="G36" i="1"/>
  <c r="I38" i="1"/>
  <c r="I34" i="1"/>
  <c r="K40" i="1"/>
  <c r="K36" i="1"/>
  <c r="M38" i="1"/>
  <c r="M34" i="1"/>
  <c r="O40" i="1"/>
  <c r="O36" i="1"/>
  <c r="Q37" i="1"/>
  <c r="S29" i="1"/>
  <c r="S39" i="1"/>
  <c r="S35" i="1"/>
  <c r="S71" i="1" l="1"/>
  <c r="I41" i="1"/>
  <c r="W71" i="1"/>
  <c r="U33" i="1"/>
  <c r="W41" i="1"/>
  <c r="U50" i="1"/>
  <c r="U69" i="1"/>
  <c r="U64" i="1"/>
  <c r="U54" i="1"/>
  <c r="U67" i="1"/>
  <c r="U53" i="1"/>
  <c r="U58" i="1"/>
  <c r="U55" i="1"/>
  <c r="U52" i="1"/>
  <c r="U57" i="1"/>
  <c r="U61" i="1"/>
  <c r="U66" i="1"/>
  <c r="U63" i="1"/>
  <c r="U56" i="1"/>
  <c r="U51" i="1"/>
  <c r="U70" i="1"/>
  <c r="E41" i="1"/>
  <c r="U62" i="1"/>
  <c r="U59" i="1"/>
  <c r="U60" i="1"/>
  <c r="U65" i="1"/>
  <c r="Q41" i="1"/>
  <c r="M41" i="1"/>
  <c r="C41" i="1"/>
  <c r="U30" i="1"/>
  <c r="U31" i="1"/>
  <c r="S41" i="1"/>
  <c r="U36" i="1"/>
  <c r="U32" i="1"/>
  <c r="U40" i="1"/>
  <c r="O41" i="1"/>
  <c r="G41" i="1"/>
  <c r="U34" i="1"/>
  <c r="U35" i="1"/>
  <c r="U37" i="1"/>
  <c r="U38" i="1"/>
  <c r="U39" i="1"/>
  <c r="U29" i="1"/>
  <c r="K41" i="1"/>
  <c r="U41" i="1" l="1"/>
  <c r="R20" i="1"/>
  <c r="P20" i="1"/>
  <c r="N20" i="1"/>
  <c r="L20" i="1"/>
  <c r="J20" i="1"/>
  <c r="H20" i="1"/>
  <c r="F20" i="1"/>
  <c r="D20" i="1"/>
  <c r="B20" i="1"/>
  <c r="O13" i="1" l="1"/>
  <c r="O11" i="1"/>
  <c r="O12" i="1"/>
  <c r="S13" i="1"/>
  <c r="S11" i="1"/>
  <c r="S12" i="1"/>
  <c r="Q11" i="1"/>
  <c r="Q12" i="1"/>
  <c r="Q13" i="1"/>
  <c r="M13" i="1"/>
  <c r="M12" i="1"/>
  <c r="M11" i="1"/>
  <c r="K12" i="1"/>
  <c r="K11" i="1"/>
  <c r="K13" i="1"/>
  <c r="I11" i="1"/>
  <c r="I12" i="1"/>
  <c r="I13" i="1"/>
  <c r="G12" i="1"/>
  <c r="G11" i="1"/>
  <c r="G13" i="1"/>
  <c r="E13" i="1"/>
  <c r="E12" i="1"/>
  <c r="E11" i="1"/>
  <c r="C12" i="1"/>
  <c r="C11" i="1"/>
  <c r="C13" i="1"/>
  <c r="O10" i="1"/>
  <c r="O17" i="1"/>
  <c r="O9" i="1"/>
  <c r="O14" i="1"/>
  <c r="O18" i="1"/>
  <c r="O8" i="1"/>
  <c r="O15" i="1"/>
  <c r="O19" i="1"/>
  <c r="O16" i="1"/>
  <c r="I15" i="1"/>
  <c r="I19" i="1"/>
  <c r="I18" i="1"/>
  <c r="I9" i="1"/>
  <c r="I16" i="1"/>
  <c r="I8" i="1"/>
  <c r="I10" i="1"/>
  <c r="I17" i="1"/>
  <c r="I14" i="1"/>
  <c r="C10" i="1"/>
  <c r="C17" i="1"/>
  <c r="C9" i="1"/>
  <c r="C8" i="1"/>
  <c r="C14" i="1"/>
  <c r="C18" i="1"/>
  <c r="C15" i="1"/>
  <c r="C19" i="1"/>
  <c r="C16" i="1"/>
  <c r="K10" i="1"/>
  <c r="K17" i="1"/>
  <c r="K16" i="1"/>
  <c r="K14" i="1"/>
  <c r="K18" i="1"/>
  <c r="K8" i="1"/>
  <c r="K15" i="1"/>
  <c r="K19" i="1"/>
  <c r="K9" i="1"/>
  <c r="S10" i="1"/>
  <c r="S17" i="1"/>
  <c r="S9" i="1"/>
  <c r="S14" i="1"/>
  <c r="S18" i="1"/>
  <c r="S8" i="1"/>
  <c r="S15" i="1"/>
  <c r="S19" i="1"/>
  <c r="S16" i="1"/>
  <c r="G10" i="1"/>
  <c r="G17" i="1"/>
  <c r="G8" i="1"/>
  <c r="G14" i="1"/>
  <c r="G18" i="1"/>
  <c r="G9" i="1"/>
  <c r="G15" i="1"/>
  <c r="G19" i="1"/>
  <c r="G16" i="1"/>
  <c r="Q15" i="1"/>
  <c r="Q19" i="1"/>
  <c r="Q14" i="1"/>
  <c r="Q9" i="1"/>
  <c r="Q16" i="1"/>
  <c r="Q8" i="1"/>
  <c r="Q10" i="1"/>
  <c r="Q17" i="1"/>
  <c r="Q18" i="1"/>
  <c r="E15" i="1"/>
  <c r="E19" i="1"/>
  <c r="E9" i="1"/>
  <c r="E16" i="1"/>
  <c r="E8" i="1"/>
  <c r="E18" i="1"/>
  <c r="E10" i="1"/>
  <c r="E17" i="1"/>
  <c r="E14" i="1"/>
  <c r="M15" i="1"/>
  <c r="M19" i="1"/>
  <c r="M14" i="1"/>
  <c r="M9" i="1"/>
  <c r="M16" i="1"/>
  <c r="M8" i="1"/>
  <c r="M10" i="1"/>
  <c r="M17" i="1"/>
  <c r="M18" i="1"/>
  <c r="T20" i="1"/>
  <c r="U11" i="1" l="1"/>
  <c r="U8" i="1"/>
  <c r="U16" i="1"/>
  <c r="U13" i="1"/>
  <c r="U12" i="1"/>
  <c r="U9" i="1"/>
  <c r="U15" i="1"/>
  <c r="E20" i="1"/>
  <c r="Q20" i="1"/>
  <c r="G20" i="1"/>
  <c r="U10" i="1"/>
  <c r="U14" i="1"/>
  <c r="I20" i="1"/>
  <c r="M20" i="1"/>
  <c r="S20" i="1"/>
  <c r="C20" i="1"/>
  <c r="O20" i="1"/>
  <c r="K20" i="1"/>
  <c r="U18" i="1"/>
  <c r="W20" i="1" l="1"/>
  <c r="U19" i="1"/>
  <c r="U17" i="1"/>
  <c r="U20" i="1" l="1"/>
  <c r="D114" i="1"/>
  <c r="F114" i="1"/>
  <c r="H114" i="1"/>
  <c r="J114" i="1"/>
  <c r="L114" i="1"/>
  <c r="N114" i="1"/>
  <c r="P114" i="1"/>
  <c r="E67" i="1"/>
  <c r="G67" i="1"/>
  <c r="I67" i="1"/>
  <c r="K67" i="1"/>
  <c r="O67" i="1"/>
  <c r="Q67" i="1"/>
  <c r="C50" i="1"/>
  <c r="C71" i="1" s="1"/>
  <c r="Q85" i="1" l="1"/>
  <c r="Q100" i="1"/>
  <c r="O114" i="1"/>
  <c r="O100" i="1"/>
  <c r="M114" i="1"/>
  <c r="M100" i="1"/>
  <c r="K114" i="1"/>
  <c r="K100" i="1"/>
  <c r="I114" i="1"/>
  <c r="I100" i="1"/>
  <c r="G114" i="1"/>
  <c r="G100" i="1"/>
  <c r="E83" i="1"/>
  <c r="E100" i="1"/>
  <c r="Q109" i="1"/>
  <c r="Q113" i="1"/>
  <c r="Q105" i="1"/>
  <c r="Q99" i="1"/>
  <c r="Q108" i="1"/>
  <c r="Q112" i="1"/>
  <c r="Q104" i="1"/>
  <c r="Q101" i="1"/>
  <c r="M67" i="1"/>
  <c r="Q96" i="1"/>
  <c r="Q95" i="1"/>
  <c r="Q92" i="1"/>
  <c r="Q91" i="1"/>
  <c r="I106" i="1"/>
  <c r="I102" i="1"/>
  <c r="I97" i="1"/>
  <c r="I110" i="1"/>
  <c r="I93" i="1"/>
  <c r="I89" i="1"/>
  <c r="I85" i="1"/>
  <c r="Q88" i="1"/>
  <c r="Q87" i="1"/>
  <c r="Q84" i="1"/>
  <c r="E98" i="1"/>
  <c r="M95" i="1"/>
  <c r="M83" i="1"/>
  <c r="Q83" i="1"/>
  <c r="Q114" i="1"/>
  <c r="E101" i="1"/>
  <c r="E111" i="1"/>
  <c r="E89" i="1"/>
  <c r="E110" i="1"/>
  <c r="E88" i="1"/>
  <c r="K108" i="1"/>
  <c r="E106" i="1"/>
  <c r="E94" i="1"/>
  <c r="E84" i="1"/>
  <c r="E105" i="1"/>
  <c r="E93" i="1"/>
  <c r="E82" i="1"/>
  <c r="E81" i="1"/>
  <c r="E109" i="1"/>
  <c r="E103" i="1"/>
  <c r="E97" i="1"/>
  <c r="E92" i="1"/>
  <c r="E86" i="1"/>
  <c r="M112" i="1"/>
  <c r="E113" i="1"/>
  <c r="E107" i="1"/>
  <c r="E102" i="1"/>
  <c r="E96" i="1"/>
  <c r="E90" i="1"/>
  <c r="E85" i="1"/>
  <c r="M99" i="1"/>
  <c r="I113" i="1"/>
  <c r="I105" i="1"/>
  <c r="I101" i="1"/>
  <c r="I92" i="1"/>
  <c r="I84" i="1"/>
  <c r="I112" i="1"/>
  <c r="I108" i="1"/>
  <c r="I104" i="1"/>
  <c r="I99" i="1"/>
  <c r="I95" i="1"/>
  <c r="I91" i="1"/>
  <c r="I87" i="1"/>
  <c r="I83" i="1"/>
  <c r="M108" i="1"/>
  <c r="M91" i="1"/>
  <c r="E114" i="1"/>
  <c r="I109" i="1"/>
  <c r="I96" i="1"/>
  <c r="I88" i="1"/>
  <c r="O102" i="1"/>
  <c r="I111" i="1"/>
  <c r="I107" i="1"/>
  <c r="I103" i="1"/>
  <c r="I98" i="1"/>
  <c r="I94" i="1"/>
  <c r="I90" i="1"/>
  <c r="I86" i="1"/>
  <c r="I82" i="1"/>
  <c r="M104" i="1"/>
  <c r="M87" i="1"/>
  <c r="C114" i="1"/>
  <c r="C83" i="1"/>
  <c r="C87" i="1"/>
  <c r="C91" i="1"/>
  <c r="C95" i="1"/>
  <c r="C99" i="1"/>
  <c r="C104" i="1"/>
  <c r="C108" i="1"/>
  <c r="C112" i="1"/>
  <c r="C84" i="1"/>
  <c r="C88" i="1"/>
  <c r="C92" i="1"/>
  <c r="C96" i="1"/>
  <c r="C101" i="1"/>
  <c r="C105" i="1"/>
  <c r="C109" i="1"/>
  <c r="C113" i="1"/>
  <c r="C85" i="1"/>
  <c r="C89" i="1"/>
  <c r="C93" i="1"/>
  <c r="C97" i="1"/>
  <c r="C102" i="1"/>
  <c r="C106" i="1"/>
  <c r="C110" i="1"/>
  <c r="C81" i="1"/>
  <c r="C82" i="1"/>
  <c r="C86" i="1"/>
  <c r="C90" i="1"/>
  <c r="C94" i="1"/>
  <c r="C98" i="1"/>
  <c r="C111" i="1"/>
  <c r="C107" i="1"/>
  <c r="C103" i="1"/>
  <c r="G97" i="1"/>
  <c r="M111" i="1"/>
  <c r="M107" i="1"/>
  <c r="M103" i="1"/>
  <c r="M98" i="1"/>
  <c r="M94" i="1"/>
  <c r="M90" i="1"/>
  <c r="M86" i="1"/>
  <c r="M82" i="1"/>
  <c r="K91" i="1"/>
  <c r="M110" i="1"/>
  <c r="M106" i="1"/>
  <c r="M102" i="1"/>
  <c r="M97" i="1"/>
  <c r="M93" i="1"/>
  <c r="M89" i="1"/>
  <c r="M85" i="1"/>
  <c r="Q111" i="1"/>
  <c r="Q107" i="1"/>
  <c r="Q103" i="1"/>
  <c r="Q98" i="1"/>
  <c r="Q94" i="1"/>
  <c r="Q90" i="1"/>
  <c r="Q86" i="1"/>
  <c r="Q82" i="1"/>
  <c r="E112" i="1"/>
  <c r="E108" i="1"/>
  <c r="E104" i="1"/>
  <c r="E99" i="1"/>
  <c r="E95" i="1"/>
  <c r="E91" i="1"/>
  <c r="E87" i="1"/>
  <c r="M113" i="1"/>
  <c r="M109" i="1"/>
  <c r="M105" i="1"/>
  <c r="M101" i="1"/>
  <c r="M96" i="1"/>
  <c r="M92" i="1"/>
  <c r="M88" i="1"/>
  <c r="M84" i="1"/>
  <c r="O85" i="1"/>
  <c r="Q110" i="1"/>
  <c r="Q106" i="1"/>
  <c r="Q102" i="1"/>
  <c r="Q97" i="1"/>
  <c r="Q93" i="1"/>
  <c r="Q89" i="1"/>
  <c r="O82" i="1"/>
  <c r="G110" i="1"/>
  <c r="K87" i="1"/>
  <c r="K84" i="1"/>
  <c r="G106" i="1"/>
  <c r="G89" i="1"/>
  <c r="K99" i="1"/>
  <c r="K83" i="1"/>
  <c r="O110" i="1"/>
  <c r="O93" i="1"/>
  <c r="G82" i="1"/>
  <c r="G93" i="1"/>
  <c r="K104" i="1"/>
  <c r="O97" i="1"/>
  <c r="G102" i="1"/>
  <c r="G85" i="1"/>
  <c r="K112" i="1"/>
  <c r="K95" i="1"/>
  <c r="O106" i="1"/>
  <c r="O89" i="1"/>
  <c r="G113" i="1"/>
  <c r="G109" i="1"/>
  <c r="G105" i="1"/>
  <c r="G101" i="1"/>
  <c r="G96" i="1"/>
  <c r="G92" i="1"/>
  <c r="G88" i="1"/>
  <c r="G84" i="1"/>
  <c r="K111" i="1"/>
  <c r="K107" i="1"/>
  <c r="K103" i="1"/>
  <c r="K98" i="1"/>
  <c r="K94" i="1"/>
  <c r="K90" i="1"/>
  <c r="K86" i="1"/>
  <c r="K82" i="1"/>
  <c r="O113" i="1"/>
  <c r="O109" i="1"/>
  <c r="O105" i="1"/>
  <c r="O101" i="1"/>
  <c r="O96" i="1"/>
  <c r="O92" i="1"/>
  <c r="O88" i="1"/>
  <c r="O84" i="1"/>
  <c r="G112" i="1"/>
  <c r="G108" i="1"/>
  <c r="G104" i="1"/>
  <c r="G99" i="1"/>
  <c r="G95" i="1"/>
  <c r="G91" i="1"/>
  <c r="G87" i="1"/>
  <c r="G83" i="1"/>
  <c r="K110" i="1"/>
  <c r="K106" i="1"/>
  <c r="K102" i="1"/>
  <c r="K97" i="1"/>
  <c r="K93" i="1"/>
  <c r="K89" i="1"/>
  <c r="K85" i="1"/>
  <c r="O112" i="1"/>
  <c r="O108" i="1"/>
  <c r="O104" i="1"/>
  <c r="O99" i="1"/>
  <c r="O95" i="1"/>
  <c r="O91" i="1"/>
  <c r="O87" i="1"/>
  <c r="O83" i="1"/>
  <c r="G111" i="1"/>
  <c r="G107" i="1"/>
  <c r="G103" i="1"/>
  <c r="G98" i="1"/>
  <c r="G94" i="1"/>
  <c r="G90" i="1"/>
  <c r="G86" i="1"/>
  <c r="K113" i="1"/>
  <c r="K109" i="1"/>
  <c r="K105" i="1"/>
  <c r="K101" i="1"/>
  <c r="K96" i="1"/>
  <c r="K92" i="1"/>
  <c r="K88" i="1"/>
  <c r="O111" i="1"/>
  <c r="O107" i="1"/>
  <c r="O103" i="1"/>
  <c r="O98" i="1"/>
  <c r="O94" i="1"/>
  <c r="O90" i="1"/>
  <c r="O86" i="1"/>
  <c r="R114" i="1" l="1"/>
  <c r="Q66" i="1"/>
  <c r="O66" i="1"/>
  <c r="M66" i="1"/>
  <c r="K66" i="1"/>
  <c r="I66" i="1"/>
  <c r="E66" i="1"/>
  <c r="I65" i="1"/>
  <c r="S114" i="1" l="1"/>
  <c r="S100" i="1"/>
  <c r="T114" i="1"/>
  <c r="U100" i="1" s="1"/>
  <c r="G65" i="1"/>
  <c r="G66" i="1"/>
  <c r="E65" i="1"/>
  <c r="M65" i="1"/>
  <c r="G50" i="1"/>
  <c r="O65" i="1"/>
  <c r="Q65" i="1"/>
  <c r="K65" i="1"/>
  <c r="E51" i="1"/>
  <c r="O50" i="1"/>
  <c r="Q50" i="1"/>
  <c r="K51" i="1"/>
  <c r="I50" i="1"/>
  <c r="M51" i="1"/>
  <c r="G52" i="1"/>
  <c r="G81" i="1"/>
  <c r="E64" i="1"/>
  <c r="I57" i="1"/>
  <c r="I61" i="1"/>
  <c r="E52" i="1"/>
  <c r="Q61" i="1"/>
  <c r="E56" i="1"/>
  <c r="Q53" i="1"/>
  <c r="E60" i="1"/>
  <c r="Q57" i="1"/>
  <c r="I53" i="1"/>
  <c r="M62" i="1"/>
  <c r="M58" i="1"/>
  <c r="M54" i="1"/>
  <c r="M50" i="1"/>
  <c r="Q63" i="1"/>
  <c r="E62" i="1"/>
  <c r="Q59" i="1"/>
  <c r="E58" i="1"/>
  <c r="Q55" i="1"/>
  <c r="E54" i="1"/>
  <c r="Q51" i="1"/>
  <c r="E50" i="1"/>
  <c r="M64" i="1"/>
  <c r="I63" i="1"/>
  <c r="M60" i="1"/>
  <c r="I59" i="1"/>
  <c r="M56" i="1"/>
  <c r="I55" i="1"/>
  <c r="M52" i="1"/>
  <c r="I51" i="1"/>
  <c r="K64" i="1"/>
  <c r="O63" i="1"/>
  <c r="G63" i="1"/>
  <c r="K62" i="1"/>
  <c r="O61" i="1"/>
  <c r="G61" i="1"/>
  <c r="K60" i="1"/>
  <c r="O59" i="1"/>
  <c r="G59" i="1"/>
  <c r="K58" i="1"/>
  <c r="O57" i="1"/>
  <c r="G57" i="1"/>
  <c r="K56" i="1"/>
  <c r="O55" i="1"/>
  <c r="G55" i="1"/>
  <c r="K54" i="1"/>
  <c r="O53" i="1"/>
  <c r="G53" i="1"/>
  <c r="K52" i="1"/>
  <c r="O51" i="1"/>
  <c r="G51" i="1"/>
  <c r="K50" i="1"/>
  <c r="Q64" i="1"/>
  <c r="I64" i="1"/>
  <c r="M63" i="1"/>
  <c r="E63" i="1"/>
  <c r="Q62" i="1"/>
  <c r="I62" i="1"/>
  <c r="M61" i="1"/>
  <c r="E61" i="1"/>
  <c r="Q60" i="1"/>
  <c r="I60" i="1"/>
  <c r="M59" i="1"/>
  <c r="E59" i="1"/>
  <c r="Q58" i="1"/>
  <c r="I58" i="1"/>
  <c r="M57" i="1"/>
  <c r="E57" i="1"/>
  <c r="Q56" i="1"/>
  <c r="I56" i="1"/>
  <c r="M55" i="1"/>
  <c r="E55" i="1"/>
  <c r="Q54" i="1"/>
  <c r="I54" i="1"/>
  <c r="M53" i="1"/>
  <c r="E53" i="1"/>
  <c r="Q52" i="1"/>
  <c r="I52" i="1"/>
  <c r="O64" i="1"/>
  <c r="G64" i="1"/>
  <c r="K63" i="1"/>
  <c r="O62" i="1"/>
  <c r="G62" i="1"/>
  <c r="K61" i="1"/>
  <c r="O60" i="1"/>
  <c r="G60" i="1"/>
  <c r="K59" i="1"/>
  <c r="O58" i="1"/>
  <c r="G58" i="1"/>
  <c r="K57" i="1"/>
  <c r="O56" i="1"/>
  <c r="G56" i="1"/>
  <c r="K55" i="1"/>
  <c r="O54" i="1"/>
  <c r="G54" i="1"/>
  <c r="K53" i="1"/>
  <c r="O52" i="1"/>
  <c r="I81" i="1"/>
  <c r="K81" i="1"/>
  <c r="O81" i="1"/>
  <c r="Q81" i="1"/>
  <c r="M81" i="1"/>
  <c r="W114" i="1" l="1"/>
  <c r="E71" i="1"/>
  <c r="I71" i="1"/>
  <c r="U106" i="1"/>
  <c r="U96" i="1"/>
  <c r="U93" i="1"/>
  <c r="U92" i="1"/>
  <c r="U104" i="1"/>
  <c r="U83" i="1"/>
  <c r="U98" i="1"/>
  <c r="U82" i="1"/>
  <c r="U111" i="1"/>
  <c r="U90" i="1"/>
  <c r="U102" i="1"/>
  <c r="U101" i="1"/>
  <c r="U87" i="1"/>
  <c r="U86" i="1"/>
  <c r="U97" i="1"/>
  <c r="U95" i="1"/>
  <c r="U85" i="1"/>
  <c r="U88" i="1"/>
  <c r="U99" i="1"/>
  <c r="U113" i="1"/>
  <c r="U94" i="1"/>
  <c r="U89" i="1"/>
  <c r="U105" i="1"/>
  <c r="U84" i="1"/>
  <c r="U91" i="1"/>
  <c r="U107" i="1"/>
  <c r="U81" i="1"/>
  <c r="U109" i="1"/>
  <c r="U108" i="1"/>
  <c r="U103" i="1"/>
  <c r="U112" i="1"/>
  <c r="Q71" i="1"/>
  <c r="U110" i="1"/>
  <c r="O71" i="1"/>
  <c r="M71" i="1"/>
  <c r="K71" i="1"/>
  <c r="G71" i="1"/>
  <c r="U114" i="1" l="1"/>
  <c r="U71" i="1"/>
  <c r="S107" i="1"/>
  <c r="S94" i="1"/>
  <c r="S98" i="1"/>
  <c r="S87" i="1"/>
  <c r="S103" i="1"/>
  <c r="S108" i="1"/>
  <c r="S90" i="1"/>
  <c r="S83" i="1"/>
  <c r="S110" i="1"/>
  <c r="S111" i="1"/>
  <c r="S99" i="1"/>
  <c r="S104" i="1"/>
  <c r="S89" i="1"/>
  <c r="S93" i="1"/>
  <c r="S112" i="1"/>
  <c r="S95" i="1"/>
  <c r="S97" i="1"/>
  <c r="S85" i="1"/>
  <c r="S82" i="1"/>
  <c r="S106" i="1"/>
  <c r="S86" i="1"/>
  <c r="S102" i="1"/>
  <c r="S91" i="1"/>
  <c r="S109" i="1"/>
  <c r="S113" i="1"/>
  <c r="S105" i="1"/>
  <c r="S92" i="1"/>
  <c r="S96" i="1"/>
  <c r="S84" i="1"/>
  <c r="S101" i="1"/>
  <c r="S88" i="1"/>
  <c r="S81" i="1"/>
</calcChain>
</file>

<file path=xl/sharedStrings.xml><?xml version="1.0" encoding="utf-8"?>
<sst xmlns="http://schemas.openxmlformats.org/spreadsheetml/2006/main" count="241" uniqueCount="95">
  <si>
    <t>CONSEJO NACIONAL DE DROGAS</t>
  </si>
  <si>
    <t>MESES</t>
  </si>
  <si>
    <t>PROGRAMAS</t>
  </si>
  <si>
    <t>REGIONALES</t>
  </si>
  <si>
    <t>TOTAL</t>
  </si>
  <si>
    <t>DPC</t>
  </si>
  <si>
    <t>DEPREI</t>
  </si>
  <si>
    <t>DEPRAL</t>
  </si>
  <si>
    <t>DEPREDEPORTE</t>
  </si>
  <si>
    <t>Cant.</t>
  </si>
  <si>
    <t>%</t>
  </si>
  <si>
    <t xml:space="preserve">CANTIDAD DE PARTICIPANTES POR LOS DEPARTAMENTOS  Y REGIONALES </t>
  </si>
  <si>
    <t>TABLA DE  TIPO DE ACTIVIDADES REALIZADAS POR LOS PROGRAMAS Y REGIONALES</t>
  </si>
  <si>
    <t>Curso</t>
  </si>
  <si>
    <t>Conversatorio</t>
  </si>
  <si>
    <t xml:space="preserve">Actividad recreativa </t>
  </si>
  <si>
    <t>Actividad cultural</t>
  </si>
  <si>
    <t>Actividad religiosa</t>
  </si>
  <si>
    <t>Actividad deportiva</t>
  </si>
  <si>
    <t>Seguimiento</t>
  </si>
  <si>
    <t>Capacitacion</t>
  </si>
  <si>
    <t>Graduación</t>
  </si>
  <si>
    <t>Festivales deportivos</t>
  </si>
  <si>
    <t>Campañas</t>
  </si>
  <si>
    <t>Conferencia</t>
  </si>
  <si>
    <t>Taller</t>
  </si>
  <si>
    <t xml:space="preserve">TABLA DE  NÚMERO DE ACTIVIDADES REALIZADAS POR LOS PROGRAMAS SEGÚN PROCEDENCIA </t>
  </si>
  <si>
    <t>Azua</t>
  </si>
  <si>
    <t>Bahoruco</t>
  </si>
  <si>
    <t>Barahona</t>
  </si>
  <si>
    <t>Dajabon</t>
  </si>
  <si>
    <t>Duarte</t>
  </si>
  <si>
    <t>Elias Piña</t>
  </si>
  <si>
    <t>El Seibo</t>
  </si>
  <si>
    <t>Espaillat</t>
  </si>
  <si>
    <t>Independencia</t>
  </si>
  <si>
    <t>La Altagracia</t>
  </si>
  <si>
    <t>La Romana</t>
  </si>
  <si>
    <t>La Vega</t>
  </si>
  <si>
    <t>Hermanas Mirabal</t>
  </si>
  <si>
    <t>Maria Trinidad S.</t>
  </si>
  <si>
    <t>Monte Cristi</t>
  </si>
  <si>
    <t>Pedernales</t>
  </si>
  <si>
    <t>Peravia</t>
  </si>
  <si>
    <t>Puerto Plata</t>
  </si>
  <si>
    <t>Salcedo</t>
  </si>
  <si>
    <t>Samana</t>
  </si>
  <si>
    <t>San Cristóbal</t>
  </si>
  <si>
    <t>San Juan</t>
  </si>
  <si>
    <t>San Pedro de M.</t>
  </si>
  <si>
    <t>Sanchez Ramirez</t>
  </si>
  <si>
    <t>Santiago</t>
  </si>
  <si>
    <t>Santiago Rodriguez</t>
  </si>
  <si>
    <t>Valverde</t>
  </si>
  <si>
    <t xml:space="preserve">Monseñor Nouel </t>
  </si>
  <si>
    <t>Monte Plata</t>
  </si>
  <si>
    <t xml:space="preserve">Hato Mayor </t>
  </si>
  <si>
    <t>San Franco. de Macoris</t>
  </si>
  <si>
    <t>CANTIDAD DE  ACTIVIDADES REALIZADAS POR LOS DEPARTAMENTOS Y REGIONALES</t>
  </si>
  <si>
    <t>Seminario</t>
  </si>
  <si>
    <t>Implementaciones</t>
  </si>
  <si>
    <t xml:space="preserve">D. N. y Sto. Dgo. </t>
  </si>
  <si>
    <t>OCTUBRE</t>
  </si>
  <si>
    <t>NOVIEMBRE</t>
  </si>
  <si>
    <t>DICIEMBRE</t>
  </si>
  <si>
    <t>Orientacion ciudadana</t>
  </si>
  <si>
    <t>Supervision</t>
  </si>
  <si>
    <r>
      <t>FUENTE:</t>
    </r>
    <r>
      <rPr>
        <sz val="8"/>
        <rFont val="Arial"/>
        <family val="2"/>
      </rPr>
      <t xml:space="preserve"> Elaborado en base a datos suministrados por los programas y Regionales del CND.</t>
    </r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</si>
  <si>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</si>
  <si>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</si>
  <si>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</si>
  <si>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</si>
  <si>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</si>
  <si>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</si>
  <si>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</si>
  <si>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</si>
  <si>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DRCNORTE</t>
  </si>
  <si>
    <t>DREN</t>
  </si>
  <si>
    <t>DRHI</t>
  </si>
  <si>
    <t>DROZAMA</t>
  </si>
  <si>
    <t xml:space="preserve">OCTUBRE </t>
  </si>
  <si>
    <t xml:space="preserve">ENERO </t>
  </si>
  <si>
    <t xml:space="preserve">AGOSTO </t>
  </si>
  <si>
    <t>Otras actividades</t>
  </si>
  <si>
    <t>Medios de Comunicación</t>
  </si>
  <si>
    <t>DRCNORESTE</t>
  </si>
  <si>
    <t>Tipo de Actividad</t>
  </si>
  <si>
    <t>Provincias</t>
  </si>
  <si>
    <t>DRVALDESIA</t>
  </si>
  <si>
    <t>Ocoa</t>
  </si>
  <si>
    <t>Monitoreo</t>
  </si>
  <si>
    <t>ENERO - DICIEMBRE 2025</t>
  </si>
  <si>
    <t>Reuniones de Coordinación</t>
  </si>
  <si>
    <t>Director del Observatorio Dominicano de Drogas</t>
  </si>
  <si>
    <t xml:space="preserve">     Lic. Luis Carlos Adame Adames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</si>
</sst>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2" borderId="0" applyNumberFormat="0" applyBorder="0" applyAlignment="0" applyProtection="0"/>
  </cellStyleXfs>
  <cellXfs count="57">
    <xf numFmtId="0" fontId="0" fillId="0" borderId="0" xfId="0"/>
    <xf numFmtId="0" fontId="8" fillId="0" borderId="0" xfId="5" applyFont="1"/>
    <xf numFmtId="0" fontId="6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9" fontId="6" fillId="0" borderId="0" xfId="1" applyFont="1" applyBorder="1" applyAlignment="1">
      <alignment horizontal="center"/>
    </xf>
    <xf numFmtId="0" fontId="5" fillId="0" borderId="0" xfId="2" applyFont="1" applyAlignment="1">
      <alignment horizontal="center"/>
    </xf>
    <xf numFmtId="9" fontId="6" fillId="0" borderId="0" xfId="1" applyFont="1" applyFill="1" applyBorder="1" applyAlignment="1">
      <alignment horizontal="center"/>
    </xf>
    <xf numFmtId="3" fontId="6" fillId="0" borderId="0" xfId="2" applyNumberFormat="1" applyFont="1" applyAlignment="1">
      <alignment horizontal="center"/>
    </xf>
    <xf numFmtId="3" fontId="5" fillId="0" borderId="0" xfId="2" applyNumberFormat="1" applyFont="1" applyAlignment="1">
      <alignment horizontal="center"/>
    </xf>
    <xf numFmtId="0" fontId="3" fillId="0" borderId="8" xfId="2" applyBorder="1" applyAlignment="1">
      <alignment horizontal="left"/>
    </xf>
    <xf numFmtId="3" fontId="10" fillId="0" borderId="6" xfId="0" applyNumberFormat="1" applyFont="1" applyBorder="1" applyAlignment="1">
      <alignment horizontal="center"/>
    </xf>
    <xf numFmtId="9" fontId="3" fillId="0" borderId="6" xfId="1" applyFont="1" applyBorder="1" applyAlignment="1">
      <alignment horizontal="center"/>
    </xf>
    <xf numFmtId="3" fontId="4" fillId="0" borderId="6" xfId="2" applyNumberFormat="1" applyFont="1" applyBorder="1" applyAlignment="1">
      <alignment horizontal="center"/>
    </xf>
    <xf numFmtId="0" fontId="3" fillId="0" borderId="6" xfId="2" applyBorder="1" applyAlignment="1">
      <alignment horizontal="left"/>
    </xf>
    <xf numFmtId="1" fontId="10" fillId="0" borderId="6" xfId="0" applyNumberFormat="1" applyFont="1" applyBorder="1" applyAlignment="1">
      <alignment horizontal="center"/>
    </xf>
    <xf numFmtId="0" fontId="3" fillId="0" borderId="6" xfId="4" applyBorder="1" applyAlignment="1">
      <alignment horizontal="left"/>
    </xf>
    <xf numFmtId="0" fontId="10" fillId="0" borderId="6" xfId="0" applyFont="1" applyBorder="1" applyAlignment="1">
      <alignment horizontal="center"/>
    </xf>
    <xf numFmtId="3" fontId="3" fillId="0" borderId="6" xfId="4" applyNumberFormat="1" applyBorder="1" applyAlignment="1">
      <alignment horizontal="center"/>
    </xf>
    <xf numFmtId="0" fontId="10" fillId="0" borderId="6" xfId="0" applyFont="1" applyBorder="1" applyAlignment="1">
      <alignment horizontal="left"/>
    </xf>
    <xf numFmtId="3" fontId="3" fillId="0" borderId="6" xfId="6" applyNumberFormat="1" applyBorder="1" applyAlignment="1">
      <alignment horizontal="center"/>
    </xf>
    <xf numFmtId="9" fontId="4" fillId="0" borderId="6" xfId="1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13" fillId="2" borderId="6" xfId="7" applyNumberFormat="1" applyFont="1" applyBorder="1" applyAlignment="1">
      <alignment horizontal="center"/>
    </xf>
    <xf numFmtId="0" fontId="13" fillId="2" borderId="6" xfId="7" applyFont="1" applyBorder="1" applyAlignment="1">
      <alignment horizontal="center"/>
    </xf>
    <xf numFmtId="0" fontId="13" fillId="2" borderId="6" xfId="7" applyFont="1" applyBorder="1"/>
    <xf numFmtId="9" fontId="13" fillId="2" borderId="6" xfId="7" applyNumberFormat="1" applyFont="1" applyBorder="1" applyAlignment="1">
      <alignment horizontal="center"/>
    </xf>
    <xf numFmtId="0" fontId="13" fillId="2" borderId="6" xfId="7" applyFont="1" applyBorder="1" applyAlignment="1">
      <alignment horizontal="center" vertical="center" wrapText="1"/>
    </xf>
    <xf numFmtId="3" fontId="13" fillId="2" borderId="6" xfId="7" applyNumberFormat="1" applyFont="1" applyBorder="1" applyAlignment="1">
      <alignment horizontal="center" vertical="center" wrapText="1"/>
    </xf>
    <xf numFmtId="3" fontId="3" fillId="0" borderId="6" xfId="2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6" applyFont="1" applyAlignment="1">
      <alignment horizontal="center"/>
    </xf>
    <xf numFmtId="0" fontId="4" fillId="0" borderId="0" xfId="4" applyFont="1" applyAlignment="1">
      <alignment horizontal="center"/>
    </xf>
    <xf numFmtId="0" fontId="4" fillId="0" borderId="1" xfId="2" applyFont="1" applyBorder="1" applyAlignment="1">
      <alignment horizontal="center"/>
    </xf>
    <xf numFmtId="0" fontId="13" fillId="2" borderId="3" xfId="7" applyFont="1" applyBorder="1" applyAlignment="1">
      <alignment horizontal="center"/>
    </xf>
    <xf numFmtId="0" fontId="13" fillId="2" borderId="4" xfId="7" applyFont="1" applyBorder="1" applyAlignment="1">
      <alignment horizontal="center"/>
    </xf>
    <xf numFmtId="0" fontId="13" fillId="2" borderId="5" xfId="7" applyFont="1" applyBorder="1" applyAlignment="1">
      <alignment horizontal="center"/>
    </xf>
    <xf numFmtId="0" fontId="13" fillId="2" borderId="9" xfId="7" applyFont="1" applyBorder="1" applyAlignment="1">
      <alignment horizontal="center" vertical="center"/>
    </xf>
    <xf numFmtId="0" fontId="13" fillId="2" borderId="10" xfId="7" applyFont="1" applyBorder="1" applyAlignment="1">
      <alignment horizontal="center" vertical="center"/>
    </xf>
    <xf numFmtId="0" fontId="13" fillId="2" borderId="11" xfId="7" applyFont="1" applyBorder="1" applyAlignment="1">
      <alignment horizontal="center" vertical="center"/>
    </xf>
    <xf numFmtId="0" fontId="13" fillId="2" borderId="12" xfId="7" applyFont="1" applyBorder="1" applyAlignment="1">
      <alignment horizontal="center" vertical="center"/>
    </xf>
    <xf numFmtId="0" fontId="4" fillId="0" borderId="0" xfId="2" applyFont="1" applyAlignment="1">
      <alignment horizontal="center"/>
    </xf>
    <xf numFmtId="3" fontId="13" fillId="2" borderId="9" xfId="7" applyNumberFormat="1" applyFont="1" applyBorder="1" applyAlignment="1">
      <alignment horizontal="center" vertical="center"/>
    </xf>
    <xf numFmtId="3" fontId="13" fillId="2" borderId="10" xfId="7" applyNumberFormat="1" applyFont="1" applyBorder="1" applyAlignment="1">
      <alignment horizontal="center" vertical="center"/>
    </xf>
    <xf numFmtId="3" fontId="13" fillId="2" borderId="11" xfId="7" applyNumberFormat="1" applyFont="1" applyBorder="1" applyAlignment="1">
      <alignment horizontal="center" vertical="center"/>
    </xf>
    <xf numFmtId="3" fontId="13" fillId="2" borderId="12" xfId="7" applyNumberFormat="1" applyFont="1" applyBorder="1" applyAlignment="1">
      <alignment horizontal="center" vertical="center"/>
    </xf>
    <xf numFmtId="0" fontId="13" fillId="2" borderId="2" xfId="7" applyFont="1" applyBorder="1" applyAlignment="1">
      <alignment horizontal="center" vertical="center"/>
    </xf>
    <xf numFmtId="0" fontId="13" fillId="2" borderId="7" xfId="7" applyFont="1" applyBorder="1" applyAlignment="1">
      <alignment horizontal="center" vertical="center"/>
    </xf>
    <xf numFmtId="0" fontId="13" fillId="2" borderId="8" xfId="7" applyFont="1" applyBorder="1" applyAlignment="1">
      <alignment horizontal="center" vertical="center"/>
    </xf>
    <xf numFmtId="3" fontId="13" fillId="2" borderId="3" xfId="7" applyNumberFormat="1" applyFont="1" applyBorder="1" applyAlignment="1">
      <alignment horizontal="center"/>
    </xf>
    <xf numFmtId="3" fontId="13" fillId="2" borderId="4" xfId="7" applyNumberFormat="1" applyFont="1" applyBorder="1" applyAlignment="1">
      <alignment horizontal="center"/>
    </xf>
    <xf numFmtId="3" fontId="13" fillId="2" borderId="5" xfId="7" applyNumberFormat="1" applyFont="1" applyBorder="1" applyAlignment="1">
      <alignment horizontal="center"/>
    </xf>
    <xf numFmtId="0" fontId="7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/>
    <xf numFmtId="0" fontId="15" fillId="0" borderId="0" xfId="0" applyFont="1"/>
  </cellXfs>
  <cellStyles count="8">
    <cellStyle name="40% - Énfasis1" xfId="7" builtinId="31"/>
    <cellStyle name="Normal" xfId="0" builtinId="0"/>
    <cellStyle name="Normal 2" xfId="6"/>
    <cellStyle name="Normal 3" xfId="4"/>
    <cellStyle name="Normal 4" xfId="3"/>
    <cellStyle name="Normal 5" xfId="2"/>
    <cellStyle name="Normal 6" xfId="5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18"/>
  <sheetViews>
    <sheetView showGridLines="0" tabSelected="1" topLeftCell="F115" zoomScale="90" zoomScaleNormal="90" workbookViewId="0">
      <selection activeCell="K117" sqref="K117"/>
    </sheetView>
  </sheetViews>
  <sheetFormatPr baseColWidth="10" defaultRowHeight="14.4" x14ac:dyDescent="0.3"/>
  <cols>
    <col min="1" max="1" width="27.33203125" customWidth="1"/>
    <col min="2" max="2" width="10.109375" customWidth="1"/>
    <col min="3" max="3" width="7.88671875" customWidth="1"/>
    <col min="4" max="4" width="7.5546875" customWidth="1"/>
    <col min="5" max="5" width="7.109375" bestFit="1" customWidth="1"/>
    <col min="6" max="6" width="5.6640625" customWidth="1"/>
    <col min="7" max="7" width="7.109375" bestFit="1" customWidth="1"/>
    <col min="8" max="8" width="7.6640625" customWidth="1"/>
    <col min="9" max="9" width="9.109375" customWidth="1"/>
    <col min="10" max="10" width="7.5546875" customWidth="1"/>
    <col min="11" max="11" width="7.109375" bestFit="1" customWidth="1"/>
    <col min="12" max="12" width="7.44140625" bestFit="1" customWidth="1"/>
    <col min="13" max="13" width="7.109375" bestFit="1" customWidth="1"/>
    <col min="14" max="14" width="6.44140625" customWidth="1"/>
    <col min="15" max="15" width="6.5546875" customWidth="1"/>
    <col min="16" max="16" width="7.6640625" customWidth="1"/>
    <col min="17" max="17" width="6.44140625" customWidth="1"/>
    <col min="18" max="18" width="9" customWidth="1"/>
    <col min="19" max="19" width="11" customWidth="1"/>
    <col min="20" max="20" width="10.33203125" customWidth="1"/>
    <col min="21" max="21" width="9.88671875" customWidth="1"/>
  </cols>
  <sheetData>
    <row r="2" spans="1:23" ht="15.6" x14ac:dyDescent="0.3">
      <c r="A2" s="30" t="s">
        <v>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" customHeight="1" x14ac:dyDescent="0.3">
      <c r="A3" s="41" t="s">
        <v>58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</row>
    <row r="4" spans="1:23" x14ac:dyDescent="0.3">
      <c r="A4" s="33" t="s">
        <v>91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</row>
    <row r="5" spans="1:23" x14ac:dyDescent="0.3">
      <c r="A5" s="46" t="s">
        <v>1</v>
      </c>
      <c r="B5" s="49" t="s">
        <v>2</v>
      </c>
      <c r="C5" s="50"/>
      <c r="D5" s="50"/>
      <c r="E5" s="50"/>
      <c r="F5" s="50"/>
      <c r="G5" s="50"/>
      <c r="H5" s="50"/>
      <c r="I5" s="51"/>
      <c r="J5" s="49" t="s">
        <v>3</v>
      </c>
      <c r="K5" s="50"/>
      <c r="L5" s="50"/>
      <c r="M5" s="50"/>
      <c r="N5" s="50"/>
      <c r="O5" s="50"/>
      <c r="P5" s="50"/>
      <c r="Q5" s="50"/>
      <c r="R5" s="50"/>
      <c r="S5" s="50"/>
      <c r="T5" s="50"/>
      <c r="U5" s="51"/>
      <c r="V5" s="42" t="s">
        <v>4</v>
      </c>
      <c r="W5" s="43"/>
    </row>
    <row r="6" spans="1:23" x14ac:dyDescent="0.3">
      <c r="A6" s="47"/>
      <c r="B6" s="49" t="s">
        <v>5</v>
      </c>
      <c r="C6" s="51"/>
      <c r="D6" s="49" t="s">
        <v>6</v>
      </c>
      <c r="E6" s="51"/>
      <c r="F6" s="49" t="s">
        <v>7</v>
      </c>
      <c r="G6" s="51"/>
      <c r="H6" s="49" t="s">
        <v>8</v>
      </c>
      <c r="I6" s="51"/>
      <c r="J6" s="34" t="s">
        <v>76</v>
      </c>
      <c r="K6" s="36"/>
      <c r="L6" s="34" t="s">
        <v>77</v>
      </c>
      <c r="M6" s="36"/>
      <c r="N6" s="49" t="s">
        <v>88</v>
      </c>
      <c r="O6" s="51"/>
      <c r="P6" s="34" t="s">
        <v>78</v>
      </c>
      <c r="Q6" s="36"/>
      <c r="R6" s="34" t="s">
        <v>79</v>
      </c>
      <c r="S6" s="36"/>
      <c r="T6" s="49" t="s">
        <v>85</v>
      </c>
      <c r="U6" s="51"/>
      <c r="V6" s="44"/>
      <c r="W6" s="45"/>
    </row>
    <row r="7" spans="1:23" x14ac:dyDescent="0.3">
      <c r="A7" s="48"/>
      <c r="B7" s="23" t="s">
        <v>9</v>
      </c>
      <c r="C7" s="24" t="s">
        <v>10</v>
      </c>
      <c r="D7" s="23" t="s">
        <v>9</v>
      </c>
      <c r="E7" s="24" t="s">
        <v>10</v>
      </c>
      <c r="F7" s="23" t="s">
        <v>9</v>
      </c>
      <c r="G7" s="24" t="s">
        <v>10</v>
      </c>
      <c r="H7" s="23" t="s">
        <v>9</v>
      </c>
      <c r="I7" s="24" t="s">
        <v>10</v>
      </c>
      <c r="J7" s="23" t="s">
        <v>9</v>
      </c>
      <c r="K7" s="24" t="s">
        <v>10</v>
      </c>
      <c r="L7" s="23" t="s">
        <v>9</v>
      </c>
      <c r="M7" s="24" t="s">
        <v>10</v>
      </c>
      <c r="N7" s="23" t="s">
        <v>9</v>
      </c>
      <c r="O7" s="24" t="s">
        <v>10</v>
      </c>
      <c r="P7" s="23" t="s">
        <v>9</v>
      </c>
      <c r="Q7" s="24" t="s">
        <v>10</v>
      </c>
      <c r="R7" s="23" t="s">
        <v>9</v>
      </c>
      <c r="S7" s="24" t="s">
        <v>10</v>
      </c>
      <c r="T7" s="23" t="s">
        <v>9</v>
      </c>
      <c r="U7" s="24" t="s">
        <v>10</v>
      </c>
      <c r="V7" s="23" t="s">
        <v>9</v>
      </c>
      <c r="W7" s="24" t="s">
        <v>10</v>
      </c>
    </row>
    <row r="8" spans="1:23" x14ac:dyDescent="0.3">
      <c r="A8" s="9" t="s">
        <v>81</v>
      </c>
      <c r="B8" s="10">
        <v>5</v>
      </c>
      <c r="C8" s="11">
        <f>B8/$B$20</f>
        <v>7.2463768115942032E-2</v>
      </c>
      <c r="D8" s="10">
        <v>17</v>
      </c>
      <c r="E8" s="11">
        <f>D8/$D$20</f>
        <v>8.7179487179487175E-2</v>
      </c>
      <c r="F8" s="10">
        <v>3</v>
      </c>
      <c r="G8" s="11">
        <f>F8/$F$20</f>
        <v>3.2967032967032968E-2</v>
      </c>
      <c r="H8" s="10">
        <v>9</v>
      </c>
      <c r="I8" s="11">
        <f>H8/$H$20</f>
        <v>4.8913043478260872E-2</v>
      </c>
      <c r="J8" s="10">
        <v>12</v>
      </c>
      <c r="K8" s="11">
        <f>J8/$J$20</f>
        <v>5.6603773584905662E-2</v>
      </c>
      <c r="L8" s="10">
        <v>8</v>
      </c>
      <c r="M8" s="11">
        <f>L8/$L$20</f>
        <v>6.8965517241379309E-2</v>
      </c>
      <c r="N8" s="10">
        <v>6</v>
      </c>
      <c r="O8" s="11">
        <f>N8/$N$20</f>
        <v>8.3333333333333329E-2</v>
      </c>
      <c r="P8" s="10">
        <v>2</v>
      </c>
      <c r="Q8" s="11">
        <f>P8/$P$20</f>
        <v>1.6E-2</v>
      </c>
      <c r="R8" s="10">
        <v>5</v>
      </c>
      <c r="S8" s="11">
        <f>R8/$R$20</f>
        <v>3.5211267605633804E-2</v>
      </c>
      <c r="T8" s="29">
        <v>3</v>
      </c>
      <c r="U8" s="11">
        <f>T8/$T$20</f>
        <v>2.1276595744680851E-2</v>
      </c>
      <c r="V8" s="12">
        <f>B8+D8+F8+H8+J8+L8+N8+P8+R8+T8</f>
        <v>70</v>
      </c>
      <c r="W8" s="11">
        <f>V8/$V$20</f>
        <v>5.196733481811433E-2</v>
      </c>
    </row>
    <row r="9" spans="1:23" x14ac:dyDescent="0.3">
      <c r="A9" s="9" t="s">
        <v>68</v>
      </c>
      <c r="B9" s="10">
        <v>4</v>
      </c>
      <c r="C9" s="11">
        <f t="shared" ref="C9:C19" si="0">B9/$B$20</f>
        <v>5.7971014492753624E-2</v>
      </c>
      <c r="D9" s="10">
        <v>14</v>
      </c>
      <c r="E9" s="11">
        <f t="shared" ref="E9:E19" si="1">D9/$D$20</f>
        <v>7.179487179487179E-2</v>
      </c>
      <c r="F9" s="10">
        <v>5</v>
      </c>
      <c r="G9" s="11">
        <f t="shared" ref="G9:G19" si="2">F9/$F$20</f>
        <v>5.4945054945054944E-2</v>
      </c>
      <c r="H9" s="10">
        <v>15</v>
      </c>
      <c r="I9" s="11">
        <f t="shared" ref="I9:I19" si="3">H9/$H$20</f>
        <v>8.1521739130434784E-2</v>
      </c>
      <c r="J9" s="10">
        <v>15</v>
      </c>
      <c r="K9" s="11">
        <f t="shared" ref="K9:K19" si="4">J9/$J$20</f>
        <v>7.0754716981132074E-2</v>
      </c>
      <c r="L9" s="10">
        <v>11</v>
      </c>
      <c r="M9" s="11">
        <f t="shared" ref="M9:M19" si="5">L9/$L$20</f>
        <v>9.4827586206896547E-2</v>
      </c>
      <c r="N9" s="10">
        <v>7</v>
      </c>
      <c r="O9" s="11">
        <f t="shared" ref="O9:O19" si="6">N9/$N$20</f>
        <v>9.7222222222222224E-2</v>
      </c>
      <c r="P9" s="10">
        <v>11</v>
      </c>
      <c r="Q9" s="11">
        <f t="shared" ref="Q9:Q19" si="7">P9/$P$20</f>
        <v>8.7999999999999995E-2</v>
      </c>
      <c r="R9" s="10">
        <v>8</v>
      </c>
      <c r="S9" s="11">
        <f t="shared" ref="S9:S19" si="8">R9/$R$20</f>
        <v>5.6338028169014086E-2</v>
      </c>
      <c r="T9" s="29">
        <v>6</v>
      </c>
      <c r="U9" s="11">
        <f t="shared" ref="U9:U16" si="9">T9/$T$20</f>
        <v>4.2553191489361701E-2</v>
      </c>
      <c r="V9" s="12">
        <f t="shared" ref="V9:V19" si="10">B9+D9+F9+H9+J9+L9+N9+P9+R9+T9</f>
        <v>96</v>
      </c>
      <c r="W9" s="11">
        <f t="shared" ref="W9:W19" si="11">V9/$V$20</f>
        <v>7.126948775055679E-2</v>
      </c>
    </row>
    <row r="10" spans="1:23" x14ac:dyDescent="0.3">
      <c r="A10" s="9" t="s">
        <v>69</v>
      </c>
      <c r="B10" s="10">
        <v>3</v>
      </c>
      <c r="C10" s="11">
        <f t="shared" si="0"/>
        <v>4.3478260869565216E-2</v>
      </c>
      <c r="D10" s="10">
        <v>30</v>
      </c>
      <c r="E10" s="11">
        <f t="shared" si="1"/>
        <v>0.15384615384615385</v>
      </c>
      <c r="F10" s="10">
        <v>12</v>
      </c>
      <c r="G10" s="11">
        <f t="shared" si="2"/>
        <v>0.13186813186813187</v>
      </c>
      <c r="H10" s="10">
        <v>21</v>
      </c>
      <c r="I10" s="11">
        <f t="shared" si="3"/>
        <v>0.11413043478260869</v>
      </c>
      <c r="J10" s="10">
        <v>23</v>
      </c>
      <c r="K10" s="11">
        <f t="shared" si="4"/>
        <v>0.10849056603773585</v>
      </c>
      <c r="L10" s="10">
        <v>15</v>
      </c>
      <c r="M10" s="11">
        <f t="shared" si="5"/>
        <v>0.12931034482758622</v>
      </c>
      <c r="N10" s="10">
        <v>11</v>
      </c>
      <c r="O10" s="11">
        <f t="shared" si="6"/>
        <v>0.15277777777777779</v>
      </c>
      <c r="P10" s="10">
        <v>9</v>
      </c>
      <c r="Q10" s="11">
        <f t="shared" si="7"/>
        <v>7.1999999999999995E-2</v>
      </c>
      <c r="R10" s="10">
        <v>11</v>
      </c>
      <c r="S10" s="11">
        <f t="shared" si="8"/>
        <v>7.746478873239436E-2</v>
      </c>
      <c r="T10" s="29">
        <v>13</v>
      </c>
      <c r="U10" s="11">
        <f t="shared" si="9"/>
        <v>9.2198581560283682E-2</v>
      </c>
      <c r="V10" s="12">
        <f t="shared" si="10"/>
        <v>148</v>
      </c>
      <c r="W10" s="11">
        <f t="shared" si="11"/>
        <v>0.10987379361544172</v>
      </c>
    </row>
    <row r="11" spans="1:23" x14ac:dyDescent="0.3">
      <c r="A11" s="9" t="s">
        <v>70</v>
      </c>
      <c r="B11" s="10">
        <v>7</v>
      </c>
      <c r="C11" s="11">
        <f t="shared" si="0"/>
        <v>0.10144927536231885</v>
      </c>
      <c r="D11" s="10">
        <v>22</v>
      </c>
      <c r="E11" s="11">
        <f t="shared" si="1"/>
        <v>0.11282051282051282</v>
      </c>
      <c r="F11" s="10">
        <v>10</v>
      </c>
      <c r="G11" s="11">
        <f t="shared" si="2"/>
        <v>0.10989010989010989</v>
      </c>
      <c r="H11" s="10">
        <v>15</v>
      </c>
      <c r="I11" s="11">
        <f t="shared" si="3"/>
        <v>8.1521739130434784E-2</v>
      </c>
      <c r="J11" s="10">
        <v>27</v>
      </c>
      <c r="K11" s="11">
        <f t="shared" si="4"/>
        <v>0.12735849056603774</v>
      </c>
      <c r="L11" s="10">
        <v>8</v>
      </c>
      <c r="M11" s="11">
        <f t="shared" si="5"/>
        <v>6.8965517241379309E-2</v>
      </c>
      <c r="N11" s="10">
        <v>0</v>
      </c>
      <c r="O11" s="11">
        <f t="shared" si="6"/>
        <v>0</v>
      </c>
      <c r="P11" s="10">
        <v>4</v>
      </c>
      <c r="Q11" s="11">
        <f t="shared" si="7"/>
        <v>3.2000000000000001E-2</v>
      </c>
      <c r="R11" s="10">
        <v>8</v>
      </c>
      <c r="S11" s="11">
        <f t="shared" si="8"/>
        <v>5.6338028169014086E-2</v>
      </c>
      <c r="T11" s="29">
        <v>13</v>
      </c>
      <c r="U11" s="11">
        <f t="shared" si="9"/>
        <v>9.2198581560283682E-2</v>
      </c>
      <c r="V11" s="12">
        <f t="shared" si="10"/>
        <v>114</v>
      </c>
      <c r="W11" s="11">
        <f t="shared" si="11"/>
        <v>8.4632516703786187E-2</v>
      </c>
    </row>
    <row r="12" spans="1:23" x14ac:dyDescent="0.3">
      <c r="A12" s="9" t="s">
        <v>71</v>
      </c>
      <c r="B12" s="10">
        <v>4</v>
      </c>
      <c r="C12" s="11">
        <f t="shared" si="0"/>
        <v>5.7971014492753624E-2</v>
      </c>
      <c r="D12" s="10">
        <v>23</v>
      </c>
      <c r="E12" s="11">
        <f t="shared" si="1"/>
        <v>0.11794871794871795</v>
      </c>
      <c r="F12" s="10">
        <v>9</v>
      </c>
      <c r="G12" s="11">
        <f t="shared" si="2"/>
        <v>9.8901098901098897E-2</v>
      </c>
      <c r="H12" s="10">
        <v>17</v>
      </c>
      <c r="I12" s="11">
        <f t="shared" si="3"/>
        <v>9.2391304347826081E-2</v>
      </c>
      <c r="J12" s="10">
        <v>24</v>
      </c>
      <c r="K12" s="11">
        <f t="shared" si="4"/>
        <v>0.11320754716981132</v>
      </c>
      <c r="L12" s="10">
        <v>19</v>
      </c>
      <c r="M12" s="11">
        <f t="shared" si="5"/>
        <v>0.16379310344827586</v>
      </c>
      <c r="N12" s="10">
        <v>0</v>
      </c>
      <c r="O12" s="11">
        <f t="shared" si="6"/>
        <v>0</v>
      </c>
      <c r="P12" s="10">
        <v>11</v>
      </c>
      <c r="Q12" s="11">
        <f t="shared" si="7"/>
        <v>8.7999999999999995E-2</v>
      </c>
      <c r="R12" s="10">
        <v>10</v>
      </c>
      <c r="S12" s="11">
        <f t="shared" si="8"/>
        <v>7.0422535211267609E-2</v>
      </c>
      <c r="T12" s="29">
        <v>15</v>
      </c>
      <c r="U12" s="11">
        <f t="shared" si="9"/>
        <v>0.10638297872340426</v>
      </c>
      <c r="V12" s="12">
        <f t="shared" si="10"/>
        <v>132</v>
      </c>
      <c r="W12" s="11">
        <f t="shared" si="11"/>
        <v>9.7995545657015584E-2</v>
      </c>
    </row>
    <row r="13" spans="1:23" x14ac:dyDescent="0.3">
      <c r="A13" s="9" t="s">
        <v>72</v>
      </c>
      <c r="B13" s="10">
        <v>6</v>
      </c>
      <c r="C13" s="11">
        <f t="shared" si="0"/>
        <v>8.6956521739130432E-2</v>
      </c>
      <c r="D13" s="10">
        <v>22</v>
      </c>
      <c r="E13" s="11">
        <f t="shared" si="1"/>
        <v>0.11282051282051282</v>
      </c>
      <c r="F13" s="10">
        <v>9</v>
      </c>
      <c r="G13" s="11">
        <f t="shared" si="2"/>
        <v>9.8901098901098897E-2</v>
      </c>
      <c r="H13" s="10">
        <v>17</v>
      </c>
      <c r="I13" s="11">
        <f t="shared" si="3"/>
        <v>9.2391304347826081E-2</v>
      </c>
      <c r="J13" s="10">
        <v>20</v>
      </c>
      <c r="K13" s="11">
        <f t="shared" si="4"/>
        <v>9.4339622641509441E-2</v>
      </c>
      <c r="L13" s="10">
        <v>11</v>
      </c>
      <c r="M13" s="11">
        <f t="shared" si="5"/>
        <v>9.4827586206896547E-2</v>
      </c>
      <c r="N13" s="10">
        <v>11</v>
      </c>
      <c r="O13" s="11">
        <f t="shared" si="6"/>
        <v>0.15277777777777779</v>
      </c>
      <c r="P13" s="10">
        <v>13</v>
      </c>
      <c r="Q13" s="11">
        <f t="shared" si="7"/>
        <v>0.104</v>
      </c>
      <c r="R13" s="10">
        <v>9</v>
      </c>
      <c r="S13" s="11">
        <f t="shared" si="8"/>
        <v>6.3380281690140844E-2</v>
      </c>
      <c r="T13" s="29">
        <v>10</v>
      </c>
      <c r="U13" s="11">
        <f t="shared" si="9"/>
        <v>7.0921985815602842E-2</v>
      </c>
      <c r="V13" s="12">
        <f t="shared" si="10"/>
        <v>128</v>
      </c>
      <c r="W13" s="11">
        <f t="shared" si="11"/>
        <v>9.5025983667409053E-2</v>
      </c>
    </row>
    <row r="14" spans="1:23" x14ac:dyDescent="0.3">
      <c r="A14" s="9" t="s">
        <v>73</v>
      </c>
      <c r="B14" s="10">
        <v>11</v>
      </c>
      <c r="C14" s="11">
        <f t="shared" si="0"/>
        <v>0.15942028985507245</v>
      </c>
      <c r="D14" s="10">
        <v>4</v>
      </c>
      <c r="E14" s="11">
        <f t="shared" si="1"/>
        <v>2.0512820512820513E-2</v>
      </c>
      <c r="F14" s="10">
        <v>16</v>
      </c>
      <c r="G14" s="11">
        <f t="shared" si="2"/>
        <v>0.17582417582417584</v>
      </c>
      <c r="H14" s="10">
        <v>29</v>
      </c>
      <c r="I14" s="11">
        <f t="shared" si="3"/>
        <v>0.15760869565217392</v>
      </c>
      <c r="J14" s="10">
        <v>13</v>
      </c>
      <c r="K14" s="11">
        <f t="shared" si="4"/>
        <v>6.1320754716981132E-2</v>
      </c>
      <c r="L14" s="10">
        <v>4</v>
      </c>
      <c r="M14" s="11">
        <f t="shared" si="5"/>
        <v>3.4482758620689655E-2</v>
      </c>
      <c r="N14" s="10">
        <v>8</v>
      </c>
      <c r="O14" s="11">
        <f t="shared" si="6"/>
        <v>0.1111111111111111</v>
      </c>
      <c r="P14" s="10">
        <v>16</v>
      </c>
      <c r="Q14" s="11">
        <f t="shared" si="7"/>
        <v>0.128</v>
      </c>
      <c r="R14" s="10">
        <v>14</v>
      </c>
      <c r="S14" s="11">
        <f t="shared" si="8"/>
        <v>9.8591549295774641E-2</v>
      </c>
      <c r="T14" s="29">
        <v>16</v>
      </c>
      <c r="U14" s="11">
        <f t="shared" si="9"/>
        <v>0.11347517730496454</v>
      </c>
      <c r="V14" s="12">
        <f t="shared" si="10"/>
        <v>131</v>
      </c>
      <c r="W14" s="11">
        <f t="shared" si="11"/>
        <v>9.7253155159613955E-2</v>
      </c>
    </row>
    <row r="15" spans="1:23" x14ac:dyDescent="0.3">
      <c r="A15" s="9" t="s">
        <v>82</v>
      </c>
      <c r="B15" s="10">
        <v>14</v>
      </c>
      <c r="C15" s="11">
        <f t="shared" si="0"/>
        <v>0.20289855072463769</v>
      </c>
      <c r="D15" s="10">
        <v>8</v>
      </c>
      <c r="E15" s="11">
        <f t="shared" si="1"/>
        <v>4.1025641025641026E-2</v>
      </c>
      <c r="F15" s="10">
        <v>6</v>
      </c>
      <c r="G15" s="11">
        <f t="shared" si="2"/>
        <v>6.5934065934065936E-2</v>
      </c>
      <c r="H15" s="10">
        <v>18</v>
      </c>
      <c r="I15" s="11">
        <f t="shared" si="3"/>
        <v>9.7826086956521743E-2</v>
      </c>
      <c r="J15" s="10">
        <v>14</v>
      </c>
      <c r="K15" s="11">
        <f t="shared" si="4"/>
        <v>6.6037735849056603E-2</v>
      </c>
      <c r="L15" s="10">
        <v>3</v>
      </c>
      <c r="M15" s="11">
        <f t="shared" si="5"/>
        <v>2.5862068965517241E-2</v>
      </c>
      <c r="N15" s="10">
        <v>7</v>
      </c>
      <c r="O15" s="11">
        <f t="shared" si="6"/>
        <v>9.7222222222222224E-2</v>
      </c>
      <c r="P15" s="10">
        <v>9</v>
      </c>
      <c r="Q15" s="11">
        <f t="shared" si="7"/>
        <v>7.1999999999999995E-2</v>
      </c>
      <c r="R15" s="10">
        <v>5</v>
      </c>
      <c r="S15" s="11">
        <f t="shared" si="8"/>
        <v>3.5211267605633804E-2</v>
      </c>
      <c r="T15" s="29">
        <v>12</v>
      </c>
      <c r="U15" s="11">
        <f t="shared" si="9"/>
        <v>8.5106382978723402E-2</v>
      </c>
      <c r="V15" s="12">
        <f t="shared" si="10"/>
        <v>96</v>
      </c>
      <c r="W15" s="11">
        <f t="shared" si="11"/>
        <v>7.126948775055679E-2</v>
      </c>
    </row>
    <row r="16" spans="1:23" x14ac:dyDescent="0.3">
      <c r="A16" s="9" t="s">
        <v>75</v>
      </c>
      <c r="B16" s="10">
        <v>5</v>
      </c>
      <c r="C16" s="11">
        <f t="shared" si="0"/>
        <v>7.2463768115942032E-2</v>
      </c>
      <c r="D16" s="10">
        <v>17</v>
      </c>
      <c r="E16" s="11">
        <f t="shared" si="1"/>
        <v>8.7179487179487175E-2</v>
      </c>
      <c r="F16" s="10">
        <v>10</v>
      </c>
      <c r="G16" s="11">
        <f t="shared" si="2"/>
        <v>0.10989010989010989</v>
      </c>
      <c r="H16" s="10">
        <v>18</v>
      </c>
      <c r="I16" s="11">
        <f t="shared" si="3"/>
        <v>9.7826086956521743E-2</v>
      </c>
      <c r="J16" s="10">
        <v>19</v>
      </c>
      <c r="K16" s="11">
        <f t="shared" si="4"/>
        <v>8.9622641509433956E-2</v>
      </c>
      <c r="L16" s="10">
        <v>8</v>
      </c>
      <c r="M16" s="11">
        <f t="shared" si="5"/>
        <v>6.8965517241379309E-2</v>
      </c>
      <c r="N16" s="10">
        <v>6</v>
      </c>
      <c r="O16" s="11">
        <f t="shared" si="6"/>
        <v>8.3333333333333329E-2</v>
      </c>
      <c r="P16" s="10">
        <v>11</v>
      </c>
      <c r="Q16" s="11">
        <f t="shared" si="7"/>
        <v>8.7999999999999995E-2</v>
      </c>
      <c r="R16" s="10">
        <v>17</v>
      </c>
      <c r="S16" s="11">
        <f t="shared" si="8"/>
        <v>0.11971830985915492</v>
      </c>
      <c r="T16" s="29">
        <v>18</v>
      </c>
      <c r="U16" s="11">
        <f t="shared" si="9"/>
        <v>0.1276595744680851</v>
      </c>
      <c r="V16" s="12">
        <f t="shared" si="10"/>
        <v>129</v>
      </c>
      <c r="W16" s="11">
        <f t="shared" si="11"/>
        <v>9.5768374164810696E-2</v>
      </c>
    </row>
    <row r="17" spans="1:23" x14ac:dyDescent="0.3">
      <c r="A17" s="13" t="s">
        <v>62</v>
      </c>
      <c r="B17" s="10">
        <v>3</v>
      </c>
      <c r="C17" s="11">
        <f t="shared" si="0"/>
        <v>4.3478260869565216E-2</v>
      </c>
      <c r="D17" s="10">
        <v>22</v>
      </c>
      <c r="E17" s="11">
        <f t="shared" si="1"/>
        <v>0.11282051282051282</v>
      </c>
      <c r="F17" s="10">
        <v>7</v>
      </c>
      <c r="G17" s="11">
        <f t="shared" si="2"/>
        <v>7.6923076923076927E-2</v>
      </c>
      <c r="H17" s="10">
        <v>20</v>
      </c>
      <c r="I17" s="11">
        <f t="shared" si="3"/>
        <v>0.10869565217391304</v>
      </c>
      <c r="J17" s="10">
        <v>25</v>
      </c>
      <c r="K17" s="11">
        <f t="shared" si="4"/>
        <v>0.11792452830188679</v>
      </c>
      <c r="L17" s="10">
        <v>13</v>
      </c>
      <c r="M17" s="11">
        <f t="shared" si="5"/>
        <v>0.11206896551724138</v>
      </c>
      <c r="N17" s="10">
        <v>7</v>
      </c>
      <c r="O17" s="11">
        <f t="shared" si="6"/>
        <v>9.7222222222222224E-2</v>
      </c>
      <c r="P17" s="10">
        <v>15</v>
      </c>
      <c r="Q17" s="11">
        <f t="shared" si="7"/>
        <v>0.12</v>
      </c>
      <c r="R17" s="10">
        <v>22</v>
      </c>
      <c r="S17" s="11">
        <f t="shared" si="8"/>
        <v>0.15492957746478872</v>
      </c>
      <c r="T17" s="29">
        <v>16</v>
      </c>
      <c r="U17" s="11">
        <f>T17/$T$20</f>
        <v>0.11347517730496454</v>
      </c>
      <c r="V17" s="12">
        <f t="shared" si="10"/>
        <v>150</v>
      </c>
      <c r="W17" s="11">
        <f t="shared" si="11"/>
        <v>0.111358574610245</v>
      </c>
    </row>
    <row r="18" spans="1:23" x14ac:dyDescent="0.3">
      <c r="A18" s="13" t="s">
        <v>63</v>
      </c>
      <c r="B18" s="10">
        <v>6</v>
      </c>
      <c r="C18" s="11">
        <f t="shared" si="0"/>
        <v>8.6956521739130432E-2</v>
      </c>
      <c r="D18" s="10">
        <v>14</v>
      </c>
      <c r="E18" s="11">
        <f t="shared" si="1"/>
        <v>7.179487179487179E-2</v>
      </c>
      <c r="F18" s="10">
        <v>3</v>
      </c>
      <c r="G18" s="11">
        <f t="shared" si="2"/>
        <v>3.2967032967032968E-2</v>
      </c>
      <c r="H18" s="10">
        <v>5</v>
      </c>
      <c r="I18" s="11">
        <f t="shared" si="3"/>
        <v>2.717391304347826E-2</v>
      </c>
      <c r="J18" s="10">
        <v>19</v>
      </c>
      <c r="K18" s="11">
        <f t="shared" si="4"/>
        <v>8.9622641509433956E-2</v>
      </c>
      <c r="L18" s="10">
        <v>10</v>
      </c>
      <c r="M18" s="11">
        <f t="shared" si="5"/>
        <v>8.6206896551724144E-2</v>
      </c>
      <c r="N18" s="10">
        <v>3</v>
      </c>
      <c r="O18" s="11">
        <f t="shared" si="6"/>
        <v>4.1666666666666664E-2</v>
      </c>
      <c r="P18" s="10">
        <v>18</v>
      </c>
      <c r="Q18" s="11">
        <f t="shared" si="7"/>
        <v>0.14399999999999999</v>
      </c>
      <c r="R18" s="10">
        <v>32</v>
      </c>
      <c r="S18" s="11">
        <f t="shared" si="8"/>
        <v>0.22535211267605634</v>
      </c>
      <c r="T18" s="29">
        <v>14</v>
      </c>
      <c r="U18" s="11">
        <f t="shared" ref="U18:U19" si="12">T18/$T$20</f>
        <v>9.9290780141843976E-2</v>
      </c>
      <c r="V18" s="12">
        <f t="shared" si="10"/>
        <v>124</v>
      </c>
      <c r="W18" s="11">
        <f t="shared" si="11"/>
        <v>9.2056421677802522E-2</v>
      </c>
    </row>
    <row r="19" spans="1:23" x14ac:dyDescent="0.3">
      <c r="A19" s="13" t="s">
        <v>64</v>
      </c>
      <c r="B19" s="10">
        <v>1</v>
      </c>
      <c r="C19" s="11">
        <f t="shared" si="0"/>
        <v>1.4492753623188406E-2</v>
      </c>
      <c r="D19" s="10">
        <v>2</v>
      </c>
      <c r="E19" s="11">
        <f t="shared" si="1"/>
        <v>1.0256410256410256E-2</v>
      </c>
      <c r="F19" s="10">
        <v>1</v>
      </c>
      <c r="G19" s="11">
        <f t="shared" si="2"/>
        <v>1.098901098901099E-2</v>
      </c>
      <c r="H19" s="10">
        <v>0</v>
      </c>
      <c r="I19" s="11">
        <f t="shared" si="3"/>
        <v>0</v>
      </c>
      <c r="J19" s="10">
        <v>1</v>
      </c>
      <c r="K19" s="11">
        <f t="shared" si="4"/>
        <v>4.7169811320754715E-3</v>
      </c>
      <c r="L19" s="10">
        <v>6</v>
      </c>
      <c r="M19" s="11">
        <f t="shared" si="5"/>
        <v>5.1724137931034482E-2</v>
      </c>
      <c r="N19" s="10">
        <v>6</v>
      </c>
      <c r="O19" s="11">
        <f t="shared" si="6"/>
        <v>8.3333333333333329E-2</v>
      </c>
      <c r="P19" s="10">
        <v>6</v>
      </c>
      <c r="Q19" s="11">
        <f t="shared" si="7"/>
        <v>4.8000000000000001E-2</v>
      </c>
      <c r="R19" s="10">
        <v>1</v>
      </c>
      <c r="S19" s="11">
        <f t="shared" si="8"/>
        <v>7.0422535211267607E-3</v>
      </c>
      <c r="T19" s="29">
        <v>5</v>
      </c>
      <c r="U19" s="11">
        <f t="shared" si="12"/>
        <v>3.5460992907801421E-2</v>
      </c>
      <c r="V19" s="12">
        <f t="shared" si="10"/>
        <v>29</v>
      </c>
      <c r="W19" s="11">
        <f t="shared" si="11"/>
        <v>2.1529324424647365E-2</v>
      </c>
    </row>
    <row r="20" spans="1:23" x14ac:dyDescent="0.3">
      <c r="A20" s="27" t="s">
        <v>4</v>
      </c>
      <c r="B20" s="28">
        <f t="shared" ref="B20:U20" si="13">SUM(B8:B19)</f>
        <v>69</v>
      </c>
      <c r="C20" s="26">
        <f t="shared" si="13"/>
        <v>0.99999999999999989</v>
      </c>
      <c r="D20" s="28">
        <f t="shared" si="13"/>
        <v>195</v>
      </c>
      <c r="E20" s="26">
        <f t="shared" si="13"/>
        <v>1</v>
      </c>
      <c r="F20" s="28">
        <f t="shared" si="13"/>
        <v>91</v>
      </c>
      <c r="G20" s="26">
        <f t="shared" si="13"/>
        <v>0.99999999999999989</v>
      </c>
      <c r="H20" s="28">
        <f t="shared" si="13"/>
        <v>184</v>
      </c>
      <c r="I20" s="26">
        <f t="shared" si="13"/>
        <v>1</v>
      </c>
      <c r="J20" s="28">
        <f t="shared" si="13"/>
        <v>212</v>
      </c>
      <c r="K20" s="26">
        <f t="shared" si="13"/>
        <v>1</v>
      </c>
      <c r="L20" s="28">
        <f t="shared" si="13"/>
        <v>116</v>
      </c>
      <c r="M20" s="26">
        <f t="shared" si="13"/>
        <v>1.0000000000000002</v>
      </c>
      <c r="N20" s="28">
        <f t="shared" si="13"/>
        <v>72</v>
      </c>
      <c r="O20" s="26">
        <f t="shared" si="13"/>
        <v>1</v>
      </c>
      <c r="P20" s="28">
        <f t="shared" si="13"/>
        <v>125</v>
      </c>
      <c r="Q20" s="26">
        <f t="shared" si="13"/>
        <v>1</v>
      </c>
      <c r="R20" s="28">
        <f t="shared" si="13"/>
        <v>142</v>
      </c>
      <c r="S20" s="26">
        <f t="shared" si="13"/>
        <v>1</v>
      </c>
      <c r="T20" s="23">
        <f t="shared" si="13"/>
        <v>141</v>
      </c>
      <c r="U20" s="26">
        <f t="shared" si="13"/>
        <v>1</v>
      </c>
      <c r="V20" s="23">
        <f t="shared" ref="V20:W20" si="14">SUM(V8:V19)</f>
        <v>1347</v>
      </c>
      <c r="W20" s="26">
        <f t="shared" si="14"/>
        <v>0.99999999999999989</v>
      </c>
    </row>
    <row r="21" spans="1:23" x14ac:dyDescent="0.3">
      <c r="A21" s="2"/>
      <c r="B21" s="3"/>
      <c r="C21" s="4"/>
      <c r="D21" s="3"/>
      <c r="E21" s="4"/>
      <c r="F21" s="3"/>
      <c r="G21" s="4"/>
      <c r="H21" s="3"/>
      <c r="I21" s="4"/>
      <c r="J21" s="3"/>
      <c r="K21" s="4"/>
      <c r="L21" s="3"/>
      <c r="M21" s="4"/>
      <c r="N21" s="3"/>
      <c r="O21" s="4"/>
      <c r="P21" s="3"/>
      <c r="Q21" s="4"/>
      <c r="R21" s="5"/>
      <c r="S21" s="4"/>
    </row>
    <row r="23" spans="1:23" ht="15.6" x14ac:dyDescent="0.3">
      <c r="A23" s="52" t="s">
        <v>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</row>
    <row r="24" spans="1:23" x14ac:dyDescent="0.3">
      <c r="A24" s="53" t="s">
        <v>11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</row>
    <row r="25" spans="1:23" x14ac:dyDescent="0.3">
      <c r="A25" s="33" t="s">
        <v>91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x14ac:dyDescent="0.3">
      <c r="A26" s="46" t="s">
        <v>1</v>
      </c>
      <c r="B26" s="34" t="s">
        <v>2</v>
      </c>
      <c r="C26" s="35"/>
      <c r="D26" s="35"/>
      <c r="E26" s="35"/>
      <c r="F26" s="35"/>
      <c r="G26" s="35"/>
      <c r="H26" s="35"/>
      <c r="I26" s="36"/>
      <c r="J26" s="34" t="s">
        <v>3</v>
      </c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6"/>
      <c r="V26" s="37" t="s">
        <v>4</v>
      </c>
      <c r="W26" s="38"/>
    </row>
    <row r="27" spans="1:23" x14ac:dyDescent="0.3">
      <c r="A27" s="47"/>
      <c r="B27" s="34" t="s">
        <v>5</v>
      </c>
      <c r="C27" s="36"/>
      <c r="D27" s="34" t="s">
        <v>6</v>
      </c>
      <c r="E27" s="36"/>
      <c r="F27" s="34" t="s">
        <v>7</v>
      </c>
      <c r="G27" s="36"/>
      <c r="H27" s="34" t="s">
        <v>8</v>
      </c>
      <c r="I27" s="36"/>
      <c r="J27" s="34" t="s">
        <v>76</v>
      </c>
      <c r="K27" s="36"/>
      <c r="L27" s="34" t="s">
        <v>77</v>
      </c>
      <c r="M27" s="36"/>
      <c r="N27" s="34" t="s">
        <v>88</v>
      </c>
      <c r="O27" s="36"/>
      <c r="P27" s="34" t="s">
        <v>78</v>
      </c>
      <c r="Q27" s="36"/>
      <c r="R27" s="34" t="s">
        <v>79</v>
      </c>
      <c r="S27" s="36"/>
      <c r="T27" s="49" t="s">
        <v>85</v>
      </c>
      <c r="U27" s="51"/>
      <c r="V27" s="39"/>
      <c r="W27" s="40"/>
    </row>
    <row r="28" spans="1:23" x14ac:dyDescent="0.3">
      <c r="A28" s="48"/>
      <c r="B28" s="23" t="s">
        <v>9</v>
      </c>
      <c r="C28" s="24" t="s">
        <v>10</v>
      </c>
      <c r="D28" s="23" t="s">
        <v>9</v>
      </c>
      <c r="E28" s="24" t="s">
        <v>10</v>
      </c>
      <c r="F28" s="23" t="s">
        <v>9</v>
      </c>
      <c r="G28" s="24" t="s">
        <v>10</v>
      </c>
      <c r="H28" s="23" t="s">
        <v>9</v>
      </c>
      <c r="I28" s="24" t="s">
        <v>10</v>
      </c>
      <c r="J28" s="23" t="s">
        <v>9</v>
      </c>
      <c r="K28" s="24" t="s">
        <v>10</v>
      </c>
      <c r="L28" s="23" t="s">
        <v>9</v>
      </c>
      <c r="M28" s="24" t="s">
        <v>10</v>
      </c>
      <c r="N28" s="23" t="s">
        <v>9</v>
      </c>
      <c r="O28" s="24" t="s">
        <v>10</v>
      </c>
      <c r="P28" s="23" t="s">
        <v>9</v>
      </c>
      <c r="Q28" s="24" t="s">
        <v>10</v>
      </c>
      <c r="R28" s="23" t="s">
        <v>9</v>
      </c>
      <c r="S28" s="24" t="s">
        <v>10</v>
      </c>
      <c r="T28" s="23" t="s">
        <v>9</v>
      </c>
      <c r="U28" s="24" t="s">
        <v>10</v>
      </c>
      <c r="V28" s="23" t="s">
        <v>9</v>
      </c>
      <c r="W28" s="24" t="s">
        <v>10</v>
      </c>
    </row>
    <row r="29" spans="1:23" x14ac:dyDescent="0.3">
      <c r="A29" s="9" t="s">
        <v>81</v>
      </c>
      <c r="B29" s="14">
        <f>194+55</f>
        <v>249</v>
      </c>
      <c r="C29" s="11">
        <f>B29/$B$41</f>
        <v>0.12575757575757576</v>
      </c>
      <c r="D29" s="14">
        <f>337+258</f>
        <v>595</v>
      </c>
      <c r="E29" s="11">
        <f>D29/$D$41</f>
        <v>7.2261355355841633E-2</v>
      </c>
      <c r="F29" s="14">
        <f>31+49</f>
        <v>80</v>
      </c>
      <c r="G29" s="11">
        <f>F29/$F$41</f>
        <v>2.3474178403755867E-2</v>
      </c>
      <c r="H29" s="14">
        <f>78+312</f>
        <v>390</v>
      </c>
      <c r="I29" s="11">
        <f>H29/$H$41</f>
        <v>3.767387944358578E-2</v>
      </c>
      <c r="J29" s="14">
        <f>410+340</f>
        <v>750</v>
      </c>
      <c r="K29" s="11">
        <f>J29/$J$41</f>
        <v>5.418683621125641E-2</v>
      </c>
      <c r="L29" s="14">
        <f>183+85</f>
        <v>268</v>
      </c>
      <c r="M29" s="11">
        <f>L29/$L$41</f>
        <v>5.5544041450777203E-2</v>
      </c>
      <c r="N29" s="14">
        <f>139+176</f>
        <v>315</v>
      </c>
      <c r="O29" s="11">
        <f>N29/$N$41</f>
        <v>0.10479041916167664</v>
      </c>
      <c r="P29" s="14">
        <f>68+77</f>
        <v>145</v>
      </c>
      <c r="Q29" s="11">
        <f>P29/$P$41</f>
        <v>1.2885452768150715E-2</v>
      </c>
      <c r="R29" s="14">
        <f>83+241</f>
        <v>324</v>
      </c>
      <c r="S29" s="11">
        <f>R29/$R$41</f>
        <v>5.5565083176127593E-2</v>
      </c>
      <c r="T29" s="29">
        <f>36+48</f>
        <v>84</v>
      </c>
      <c r="U29" s="11">
        <f>T29/$T$41</f>
        <v>1.4770529277299103E-2</v>
      </c>
      <c r="V29" s="12">
        <f>B29+D29+F29+H29+J29+L29+N29+P29+R29+T29</f>
        <v>3200</v>
      </c>
      <c r="W29" s="11">
        <f>V29/$V$41</f>
        <v>4.6772001110835029E-2</v>
      </c>
    </row>
    <row r="30" spans="1:23" x14ac:dyDescent="0.3">
      <c r="A30" s="9" t="s">
        <v>68</v>
      </c>
      <c r="B30" s="14">
        <f>110+35</f>
        <v>145</v>
      </c>
      <c r="C30" s="11">
        <f t="shared" ref="C30:C40" si="15">B30/$B$41</f>
        <v>7.3232323232323232E-2</v>
      </c>
      <c r="D30" s="14">
        <f>234+185</f>
        <v>419</v>
      </c>
      <c r="E30" s="11">
        <f t="shared" ref="E30:E40" si="16">D30/$D$41</f>
        <v>5.0886567889239738E-2</v>
      </c>
      <c r="F30" s="14">
        <f>55+47</f>
        <v>102</v>
      </c>
      <c r="G30" s="11">
        <f t="shared" ref="G30:G40" si="17">F30/$F$41</f>
        <v>2.9929577464788731E-2</v>
      </c>
      <c r="H30" s="14">
        <f>184+456</f>
        <v>640</v>
      </c>
      <c r="I30" s="11">
        <f t="shared" ref="I30:I40" si="18">H30/$H$41</f>
        <v>6.1823802163833076E-2</v>
      </c>
      <c r="J30" s="14">
        <f>561+468</f>
        <v>1029</v>
      </c>
      <c r="K30" s="11">
        <f t="shared" ref="K30:K40" si="19">J30/$J$41</f>
        <v>7.4344339281843794E-2</v>
      </c>
      <c r="L30" s="14">
        <f>153+114</f>
        <v>267</v>
      </c>
      <c r="M30" s="11">
        <f t="shared" ref="M30:M40" si="20">L30/$L$41</f>
        <v>5.5336787564766843E-2</v>
      </c>
      <c r="N30" s="14">
        <f>127+251</f>
        <v>378</v>
      </c>
      <c r="O30" s="11">
        <f t="shared" ref="O30:O40" si="21">N30/$N$41</f>
        <v>0.12574850299401197</v>
      </c>
      <c r="P30" s="14">
        <f>312+1065</f>
        <v>1377</v>
      </c>
      <c r="Q30" s="11">
        <f t="shared" ref="Q30:Q40" si="22">P30/$P$41</f>
        <v>0.12236736870167955</v>
      </c>
      <c r="R30" s="14">
        <f>154+147</f>
        <v>301</v>
      </c>
      <c r="S30" s="11">
        <f t="shared" ref="S30:S40" si="23">R30/$R$41</f>
        <v>5.1620648259303722E-2</v>
      </c>
      <c r="T30" s="29">
        <f>152+137</f>
        <v>289</v>
      </c>
      <c r="U30" s="11">
        <f t="shared" ref="U30:U40" si="24">T30/$T$41</f>
        <v>5.0817654299279057E-2</v>
      </c>
      <c r="V30" s="12">
        <f t="shared" ref="V30:V40" si="25">B30+D30+F30+H30+J30+L30+N30+P30+R30+T30</f>
        <v>4947</v>
      </c>
      <c r="W30" s="11">
        <f t="shared" ref="W30:W40" si="26">V30/$V$41</f>
        <v>7.2306590467281523E-2</v>
      </c>
    </row>
    <row r="31" spans="1:23" x14ac:dyDescent="0.3">
      <c r="A31" s="9" t="s">
        <v>69</v>
      </c>
      <c r="B31" s="14">
        <f>23+9</f>
        <v>32</v>
      </c>
      <c r="C31" s="11">
        <f t="shared" si="15"/>
        <v>1.6161616161616162E-2</v>
      </c>
      <c r="D31" s="14">
        <f>607+523</f>
        <v>1130</v>
      </c>
      <c r="E31" s="11">
        <f t="shared" si="16"/>
        <v>0.13723585134806898</v>
      </c>
      <c r="F31" s="14">
        <f>245+222</f>
        <v>467</v>
      </c>
      <c r="G31" s="11">
        <f t="shared" si="17"/>
        <v>0.13703051643192488</v>
      </c>
      <c r="H31" s="14">
        <f>487+1045</f>
        <v>1532</v>
      </c>
      <c r="I31" s="11">
        <f t="shared" si="18"/>
        <v>0.14799072642967542</v>
      </c>
      <c r="J31" s="14">
        <f>833+816</f>
        <v>1649</v>
      </c>
      <c r="K31" s="11">
        <f t="shared" si="19"/>
        <v>0.11913879054981577</v>
      </c>
      <c r="L31" s="14">
        <f>236+269</f>
        <v>505</v>
      </c>
      <c r="M31" s="11">
        <f t="shared" si="20"/>
        <v>0.10466321243523316</v>
      </c>
      <c r="N31" s="14">
        <f>206+242</f>
        <v>448</v>
      </c>
      <c r="O31" s="11">
        <f t="shared" si="21"/>
        <v>0.14903526280771789</v>
      </c>
      <c r="P31" s="14">
        <f>362+274</f>
        <v>636</v>
      </c>
      <c r="Q31" s="11">
        <f t="shared" si="22"/>
        <v>5.6518261796854173E-2</v>
      </c>
      <c r="R31" s="14">
        <f>285+299</f>
        <v>584</v>
      </c>
      <c r="S31" s="11">
        <f t="shared" si="23"/>
        <v>0.10015434745326703</v>
      </c>
      <c r="T31" s="29">
        <f>349+394</f>
        <v>743</v>
      </c>
      <c r="U31" s="11">
        <f t="shared" si="24"/>
        <v>0.13064884825039563</v>
      </c>
      <c r="V31" s="12">
        <f t="shared" si="25"/>
        <v>7726</v>
      </c>
      <c r="W31" s="11">
        <f t="shared" si="26"/>
        <v>0.11292515018197231</v>
      </c>
    </row>
    <row r="32" spans="1:23" x14ac:dyDescent="0.3">
      <c r="A32" s="9" t="s">
        <v>70</v>
      </c>
      <c r="B32" s="10">
        <f>174+95</f>
        <v>269</v>
      </c>
      <c r="C32" s="11">
        <f t="shared" si="15"/>
        <v>0.13585858585858585</v>
      </c>
      <c r="D32" s="10">
        <f>540+331</f>
        <v>871</v>
      </c>
      <c r="E32" s="11">
        <f t="shared" si="16"/>
        <v>0.10578090842846732</v>
      </c>
      <c r="F32" s="10">
        <f>80+197</f>
        <v>277</v>
      </c>
      <c r="G32" s="11">
        <f t="shared" si="17"/>
        <v>8.1279342723004688E-2</v>
      </c>
      <c r="H32" s="10">
        <f>82+454</f>
        <v>536</v>
      </c>
      <c r="I32" s="11">
        <f t="shared" si="18"/>
        <v>5.1777434312210199E-2</v>
      </c>
      <c r="J32" s="10">
        <f>1810+1714</f>
        <v>3524</v>
      </c>
      <c r="K32" s="11">
        <f t="shared" si="19"/>
        <v>0.25460588107795679</v>
      </c>
      <c r="L32" s="10">
        <f>135+206</f>
        <v>341</v>
      </c>
      <c r="M32" s="11">
        <f t="shared" si="20"/>
        <v>7.0673575129533678E-2</v>
      </c>
      <c r="N32" s="10">
        <v>0</v>
      </c>
      <c r="O32" s="11">
        <f t="shared" si="21"/>
        <v>0</v>
      </c>
      <c r="P32" s="10">
        <f>144+676</f>
        <v>820</v>
      </c>
      <c r="Q32" s="11">
        <f t="shared" si="22"/>
        <v>7.2869457033679905E-2</v>
      </c>
      <c r="R32" s="10">
        <f>123+129</f>
        <v>252</v>
      </c>
      <c r="S32" s="11">
        <f t="shared" si="23"/>
        <v>4.3217286914765909E-2</v>
      </c>
      <c r="T32" s="29">
        <f>469+332</f>
        <v>801</v>
      </c>
      <c r="U32" s="11">
        <f t="shared" si="24"/>
        <v>0.14084754703710217</v>
      </c>
      <c r="V32" s="12">
        <f t="shared" si="25"/>
        <v>7691</v>
      </c>
      <c r="W32" s="11">
        <f t="shared" si="26"/>
        <v>0.11241358141982256</v>
      </c>
    </row>
    <row r="33" spans="1:23" x14ac:dyDescent="0.3">
      <c r="A33" s="9" t="s">
        <v>71</v>
      </c>
      <c r="B33" s="10">
        <f>80+23</f>
        <v>103</v>
      </c>
      <c r="C33" s="11">
        <f t="shared" si="15"/>
        <v>5.2020202020202022E-2</v>
      </c>
      <c r="D33" s="10">
        <f>794+675</f>
        <v>1469</v>
      </c>
      <c r="E33" s="11">
        <f t="shared" si="16"/>
        <v>0.17840660675248968</v>
      </c>
      <c r="F33" s="10">
        <f>225+323</f>
        <v>548</v>
      </c>
      <c r="G33" s="11">
        <f t="shared" si="17"/>
        <v>0.16079812206572769</v>
      </c>
      <c r="H33" s="10">
        <f>68+547</f>
        <v>615</v>
      </c>
      <c r="I33" s="11">
        <f t="shared" si="18"/>
        <v>5.9408809891808349E-2</v>
      </c>
      <c r="J33" s="10">
        <f>567+580</f>
        <v>1147</v>
      </c>
      <c r="K33" s="11">
        <f t="shared" si="19"/>
        <v>8.2869734845748139E-2</v>
      </c>
      <c r="L33" s="10">
        <f>610+473</f>
        <v>1083</v>
      </c>
      <c r="M33" s="11">
        <f t="shared" si="20"/>
        <v>0.22445595854922279</v>
      </c>
      <c r="N33" s="10">
        <v>0</v>
      </c>
      <c r="O33" s="11">
        <f t="shared" si="21"/>
        <v>0</v>
      </c>
      <c r="P33" s="10">
        <f>439+323</f>
        <v>762</v>
      </c>
      <c r="Q33" s="11">
        <f t="shared" si="22"/>
        <v>6.7715275926419627E-2</v>
      </c>
      <c r="R33" s="10">
        <f>128+217</f>
        <v>345</v>
      </c>
      <c r="S33" s="11">
        <f t="shared" si="23"/>
        <v>5.9166523752358084E-2</v>
      </c>
      <c r="T33" s="29">
        <f>379+295</f>
        <v>674</v>
      </c>
      <c r="U33" s="11">
        <f t="shared" si="24"/>
        <v>0.11851591348689995</v>
      </c>
      <c r="V33" s="12">
        <f t="shared" si="25"/>
        <v>6746</v>
      </c>
      <c r="W33" s="11">
        <f t="shared" si="26"/>
        <v>9.8601224841779092E-2</v>
      </c>
    </row>
    <row r="34" spans="1:23" x14ac:dyDescent="0.3">
      <c r="A34" s="9" t="s">
        <v>72</v>
      </c>
      <c r="B34" s="10">
        <f>93+74</f>
        <v>167</v>
      </c>
      <c r="C34" s="11">
        <f t="shared" si="15"/>
        <v>8.4343434343434345E-2</v>
      </c>
      <c r="D34" s="10">
        <f>679+493</f>
        <v>1172</v>
      </c>
      <c r="E34" s="11">
        <f t="shared" si="16"/>
        <v>0.14233665290259898</v>
      </c>
      <c r="F34" s="10">
        <f>77+158</f>
        <v>235</v>
      </c>
      <c r="G34" s="11">
        <f t="shared" si="17"/>
        <v>6.895539906103286E-2</v>
      </c>
      <c r="H34" s="10">
        <f>205+777</f>
        <v>982</v>
      </c>
      <c r="I34" s="11">
        <f t="shared" si="18"/>
        <v>9.4860896445131376E-2</v>
      </c>
      <c r="J34" s="10">
        <f>480+469</f>
        <v>949</v>
      </c>
      <c r="K34" s="11">
        <f t="shared" si="19"/>
        <v>6.856441008597644E-2</v>
      </c>
      <c r="L34" s="10">
        <f>297+216</f>
        <v>513</v>
      </c>
      <c r="M34" s="11">
        <f t="shared" si="20"/>
        <v>0.10632124352331607</v>
      </c>
      <c r="N34" s="10">
        <f>227+265</f>
        <v>492</v>
      </c>
      <c r="O34" s="11">
        <f t="shared" si="21"/>
        <v>0.16367265469061876</v>
      </c>
      <c r="P34" s="10">
        <f>295+291</f>
        <v>586</v>
      </c>
      <c r="Q34" s="11">
        <f t="shared" si="22"/>
        <v>5.2075002221629786E-2</v>
      </c>
      <c r="R34" s="10">
        <f>126+189</f>
        <v>315</v>
      </c>
      <c r="S34" s="11">
        <f t="shared" si="23"/>
        <v>5.4021608643457383E-2</v>
      </c>
      <c r="T34" s="29">
        <f>110+287</f>
        <v>397</v>
      </c>
      <c r="U34" s="11">
        <f t="shared" si="24"/>
        <v>6.9808334798663621E-2</v>
      </c>
      <c r="V34" s="12">
        <f t="shared" si="25"/>
        <v>5808</v>
      </c>
      <c r="W34" s="11">
        <f t="shared" si="26"/>
        <v>8.4891182016165578E-2</v>
      </c>
    </row>
    <row r="35" spans="1:23" x14ac:dyDescent="0.3">
      <c r="A35" s="9" t="s">
        <v>73</v>
      </c>
      <c r="B35" s="10">
        <f>284+98</f>
        <v>382</v>
      </c>
      <c r="C35" s="11">
        <f t="shared" si="15"/>
        <v>0.19292929292929292</v>
      </c>
      <c r="D35" s="10">
        <f>70+37</f>
        <v>107</v>
      </c>
      <c r="E35" s="11">
        <f t="shared" si="16"/>
        <v>1.2994899198445471E-2</v>
      </c>
      <c r="F35" s="10">
        <f>240+248</f>
        <v>488</v>
      </c>
      <c r="G35" s="11">
        <f t="shared" si="17"/>
        <v>0.14319248826291081</v>
      </c>
      <c r="H35" s="10">
        <f>354+1117</f>
        <v>1471</v>
      </c>
      <c r="I35" s="11">
        <f t="shared" si="18"/>
        <v>0.14209814528593509</v>
      </c>
      <c r="J35" s="10">
        <f>130+418</f>
        <v>548</v>
      </c>
      <c r="K35" s="11">
        <f t="shared" si="19"/>
        <v>3.9592514991691349E-2</v>
      </c>
      <c r="L35" s="10">
        <f>17+97</f>
        <v>114</v>
      </c>
      <c r="M35" s="11">
        <f t="shared" si="20"/>
        <v>2.3626943005181346E-2</v>
      </c>
      <c r="N35" s="10">
        <f>71+140</f>
        <v>211</v>
      </c>
      <c r="O35" s="11">
        <f t="shared" si="21"/>
        <v>7.0192947438456416E-2</v>
      </c>
      <c r="P35" s="10">
        <f>362+1347</f>
        <v>1709</v>
      </c>
      <c r="Q35" s="11">
        <f t="shared" si="22"/>
        <v>0.15187061228116946</v>
      </c>
      <c r="R35" s="10">
        <f>224+257</f>
        <v>481</v>
      </c>
      <c r="S35" s="11">
        <f t="shared" si="23"/>
        <v>8.2490138912707942E-2</v>
      </c>
      <c r="T35" s="29">
        <f>222+232</f>
        <v>454</v>
      </c>
      <c r="U35" s="11">
        <f t="shared" si="24"/>
        <v>7.9831193951116583E-2</v>
      </c>
      <c r="V35" s="12">
        <f t="shared" si="25"/>
        <v>5965</v>
      </c>
      <c r="W35" s="11">
        <f t="shared" si="26"/>
        <v>8.7185933320665918E-2</v>
      </c>
    </row>
    <row r="36" spans="1:23" x14ac:dyDescent="0.3">
      <c r="A36" s="9" t="s">
        <v>74</v>
      </c>
      <c r="B36" s="10">
        <f>252+111</f>
        <v>363</v>
      </c>
      <c r="C36" s="11">
        <f t="shared" si="15"/>
        <v>0.18333333333333332</v>
      </c>
      <c r="D36" s="10">
        <f>151+97</f>
        <v>248</v>
      </c>
      <c r="E36" s="11">
        <f t="shared" si="16"/>
        <v>3.0119018702939034E-2</v>
      </c>
      <c r="F36" s="10">
        <f>100+138</f>
        <v>238</v>
      </c>
      <c r="G36" s="11">
        <f t="shared" si="17"/>
        <v>6.9835680751173704E-2</v>
      </c>
      <c r="H36" s="10">
        <f>172+894</f>
        <v>1066</v>
      </c>
      <c r="I36" s="11">
        <f t="shared" si="18"/>
        <v>0.10297527047913446</v>
      </c>
      <c r="J36" s="10">
        <f>231+378</f>
        <v>609</v>
      </c>
      <c r="K36" s="11">
        <f t="shared" si="19"/>
        <v>4.3999711003540207E-2</v>
      </c>
      <c r="L36" s="10">
        <f>69+98</f>
        <v>167</v>
      </c>
      <c r="M36" s="11">
        <f t="shared" si="20"/>
        <v>3.4611398963730569E-2</v>
      </c>
      <c r="N36" s="10">
        <f>81+97</f>
        <v>178</v>
      </c>
      <c r="O36" s="11">
        <f t="shared" si="21"/>
        <v>5.9214903526280775E-2</v>
      </c>
      <c r="P36" s="10">
        <f>709+513</f>
        <v>1222</v>
      </c>
      <c r="Q36" s="11">
        <f t="shared" si="22"/>
        <v>0.10859326401848396</v>
      </c>
      <c r="R36" s="10">
        <f>107+262</f>
        <v>369</v>
      </c>
      <c r="S36" s="11">
        <f t="shared" si="23"/>
        <v>6.3282455839478655E-2</v>
      </c>
      <c r="T36" s="29">
        <f>126+195</f>
        <v>321</v>
      </c>
      <c r="U36" s="11">
        <f t="shared" si="24"/>
        <v>5.6444522595393003E-2</v>
      </c>
      <c r="V36" s="12">
        <f t="shared" si="25"/>
        <v>4781</v>
      </c>
      <c r="W36" s="11">
        <f t="shared" si="26"/>
        <v>6.9880292909656958E-2</v>
      </c>
    </row>
    <row r="37" spans="1:23" x14ac:dyDescent="0.3">
      <c r="A37" s="9" t="s">
        <v>75</v>
      </c>
      <c r="B37" s="10">
        <f>66+31</f>
        <v>97</v>
      </c>
      <c r="C37" s="11">
        <f t="shared" si="15"/>
        <v>4.8989898989898993E-2</v>
      </c>
      <c r="D37" s="10">
        <f>386+267</f>
        <v>653</v>
      </c>
      <c r="E37" s="11">
        <f t="shared" si="16"/>
        <v>7.9305319407335442E-2</v>
      </c>
      <c r="F37" s="10">
        <f>240+339</f>
        <v>579</v>
      </c>
      <c r="G37" s="11">
        <f t="shared" si="17"/>
        <v>0.16989436619718309</v>
      </c>
      <c r="H37" s="10">
        <f>527+986</f>
        <v>1513</v>
      </c>
      <c r="I37" s="11">
        <f t="shared" si="18"/>
        <v>0.14615533230293662</v>
      </c>
      <c r="J37" s="10">
        <f>1012+367</f>
        <v>1379</v>
      </c>
      <c r="K37" s="11">
        <f t="shared" si="19"/>
        <v>9.9631529513763459E-2</v>
      </c>
      <c r="L37" s="10">
        <f>107+90</f>
        <v>197</v>
      </c>
      <c r="M37" s="11">
        <f t="shared" si="20"/>
        <v>4.0829015544041454E-2</v>
      </c>
      <c r="N37" s="10">
        <f>209+113</f>
        <v>322</v>
      </c>
      <c r="O37" s="11">
        <f t="shared" si="21"/>
        <v>0.10711909514304724</v>
      </c>
      <c r="P37" s="10">
        <f>118+219</f>
        <v>337</v>
      </c>
      <c r="Q37" s="11">
        <f t="shared" si="22"/>
        <v>2.9947569537012352E-2</v>
      </c>
      <c r="R37" s="10">
        <f>393+335</f>
        <v>728</v>
      </c>
      <c r="S37" s="11">
        <f t="shared" si="23"/>
        <v>0.12484993997599039</v>
      </c>
      <c r="T37" s="29">
        <f>385+313</f>
        <v>698</v>
      </c>
      <c r="U37" s="11">
        <f t="shared" si="24"/>
        <v>0.1227360647089854</v>
      </c>
      <c r="V37" s="12">
        <f t="shared" si="25"/>
        <v>6503</v>
      </c>
      <c r="W37" s="11">
        <f t="shared" si="26"/>
        <v>9.5049476007425054E-2</v>
      </c>
    </row>
    <row r="38" spans="1:23" x14ac:dyDescent="0.3">
      <c r="A38" s="13" t="s">
        <v>80</v>
      </c>
      <c r="B38" s="10">
        <f>55+12</f>
        <v>67</v>
      </c>
      <c r="C38" s="11">
        <f t="shared" si="15"/>
        <v>3.3838383838383841E-2</v>
      </c>
      <c r="D38" s="10">
        <f>401+181</f>
        <v>582</v>
      </c>
      <c r="E38" s="11">
        <f t="shared" si="16"/>
        <v>7.0682535827058537E-2</v>
      </c>
      <c r="F38" s="10">
        <f>75+165</f>
        <v>240</v>
      </c>
      <c r="G38" s="11">
        <f t="shared" si="17"/>
        <v>7.0422535211267609E-2</v>
      </c>
      <c r="H38" s="10">
        <f>404+849</f>
        <v>1253</v>
      </c>
      <c r="I38" s="11">
        <f t="shared" si="18"/>
        <v>0.12103941267387944</v>
      </c>
      <c r="J38" s="10">
        <f>404+445</f>
        <v>849</v>
      </c>
      <c r="K38" s="11">
        <f t="shared" si="19"/>
        <v>6.1339498591142259E-2</v>
      </c>
      <c r="L38" s="10">
        <f>363+286</f>
        <v>649</v>
      </c>
      <c r="M38" s="11">
        <f t="shared" si="20"/>
        <v>0.13450777202072539</v>
      </c>
      <c r="N38" s="10">
        <f>148+145</f>
        <v>293</v>
      </c>
      <c r="O38" s="11">
        <f t="shared" si="21"/>
        <v>9.7471723220226208E-2</v>
      </c>
      <c r="P38" s="10">
        <f>445+903</f>
        <v>1348</v>
      </c>
      <c r="Q38" s="11">
        <f t="shared" si="22"/>
        <v>0.11979027814804941</v>
      </c>
      <c r="R38" s="10">
        <f>446+435</f>
        <v>881</v>
      </c>
      <c r="S38" s="11">
        <f t="shared" si="23"/>
        <v>0.15108900703138398</v>
      </c>
      <c r="T38" s="29">
        <f>325+166</f>
        <v>491</v>
      </c>
      <c r="U38" s="11">
        <f t="shared" si="24"/>
        <v>8.6337260418498332E-2</v>
      </c>
      <c r="V38" s="12">
        <f t="shared" si="25"/>
        <v>6653</v>
      </c>
      <c r="W38" s="11">
        <f t="shared" si="26"/>
        <v>9.7241913559495449E-2</v>
      </c>
    </row>
    <row r="39" spans="1:23" x14ac:dyDescent="0.3">
      <c r="A39" s="13" t="s">
        <v>63</v>
      </c>
      <c r="B39" s="10">
        <f>70+26</f>
        <v>96</v>
      </c>
      <c r="C39" s="11">
        <f t="shared" si="15"/>
        <v>4.8484848484848485E-2</v>
      </c>
      <c r="D39" s="10">
        <f>397+400</f>
        <v>797</v>
      </c>
      <c r="E39" s="11">
        <f t="shared" si="16"/>
        <v>9.6793781880009713E-2</v>
      </c>
      <c r="F39" s="10">
        <f>88+32</f>
        <v>120</v>
      </c>
      <c r="G39" s="11">
        <f t="shared" si="17"/>
        <v>3.5211267605633804E-2</v>
      </c>
      <c r="H39" s="10">
        <f>156+198</f>
        <v>354</v>
      </c>
      <c r="I39" s="11">
        <f t="shared" si="18"/>
        <v>3.4196290571870173E-2</v>
      </c>
      <c r="J39" s="10">
        <f>505+812</f>
        <v>1317</v>
      </c>
      <c r="K39" s="11">
        <f t="shared" si="19"/>
        <v>9.5152084386966262E-2</v>
      </c>
      <c r="L39" s="10">
        <f>206+284</f>
        <v>490</v>
      </c>
      <c r="M39" s="11">
        <f t="shared" si="20"/>
        <v>0.10155440414507771</v>
      </c>
      <c r="N39" s="10">
        <f>57+91</f>
        <v>148</v>
      </c>
      <c r="O39" s="11">
        <f t="shared" si="21"/>
        <v>4.9234863606121095E-2</v>
      </c>
      <c r="P39" s="10">
        <f>407+462</f>
        <v>869</v>
      </c>
      <c r="Q39" s="11">
        <f t="shared" si="22"/>
        <v>7.7223851417399805E-2</v>
      </c>
      <c r="R39" s="10">
        <f>565+667</f>
        <v>1232</v>
      </c>
      <c r="S39" s="11">
        <f t="shared" si="23"/>
        <v>0.21128451380552221</v>
      </c>
      <c r="T39" s="29">
        <f>307+293</f>
        <v>600</v>
      </c>
      <c r="U39" s="11">
        <f t="shared" si="24"/>
        <v>0.10550378055213645</v>
      </c>
      <c r="V39" s="12">
        <f t="shared" si="25"/>
        <v>6023</v>
      </c>
      <c r="W39" s="11">
        <f t="shared" si="26"/>
        <v>8.8033675840799797E-2</v>
      </c>
    </row>
    <row r="40" spans="1:23" x14ac:dyDescent="0.3">
      <c r="A40" s="13" t="s">
        <v>64</v>
      </c>
      <c r="B40" s="10">
        <f>7+3</f>
        <v>10</v>
      </c>
      <c r="C40" s="11">
        <f t="shared" si="15"/>
        <v>5.0505050505050509E-3</v>
      </c>
      <c r="D40" s="10">
        <f>101+90</f>
        <v>191</v>
      </c>
      <c r="E40" s="11">
        <f t="shared" si="16"/>
        <v>2.3196502307505466E-2</v>
      </c>
      <c r="F40" s="10">
        <f>7+27</f>
        <v>34</v>
      </c>
      <c r="G40" s="11">
        <f t="shared" si="17"/>
        <v>9.9765258215962441E-3</v>
      </c>
      <c r="H40" s="10">
        <v>0</v>
      </c>
      <c r="I40" s="11">
        <f t="shared" si="18"/>
        <v>0</v>
      </c>
      <c r="J40" s="10">
        <f>75+16</f>
        <v>91</v>
      </c>
      <c r="K40" s="11">
        <f t="shared" si="19"/>
        <v>6.5746694602991113E-3</v>
      </c>
      <c r="L40" s="10">
        <f>131+100</f>
        <v>231</v>
      </c>
      <c r="M40" s="11">
        <f t="shared" si="20"/>
        <v>4.7875647668393785E-2</v>
      </c>
      <c r="N40" s="10">
        <f>95+126</f>
        <v>221</v>
      </c>
      <c r="O40" s="11">
        <f t="shared" si="21"/>
        <v>7.351962741184298E-2</v>
      </c>
      <c r="P40" s="10">
        <f>309+1133</f>
        <v>1442</v>
      </c>
      <c r="Q40" s="11">
        <f t="shared" si="22"/>
        <v>0.12814360614947126</v>
      </c>
      <c r="R40" s="10">
        <v>19</v>
      </c>
      <c r="S40" s="11">
        <f t="shared" si="23"/>
        <v>3.2584462356371122E-3</v>
      </c>
      <c r="T40" s="29">
        <f>65+70</f>
        <v>135</v>
      </c>
      <c r="U40" s="11">
        <f t="shared" si="24"/>
        <v>2.37383506242307E-2</v>
      </c>
      <c r="V40" s="12">
        <f t="shared" si="25"/>
        <v>2374</v>
      </c>
      <c r="W40" s="11">
        <f t="shared" si="26"/>
        <v>3.4698978324100738E-2</v>
      </c>
    </row>
    <row r="41" spans="1:23" x14ac:dyDescent="0.3">
      <c r="A41" s="27" t="s">
        <v>4</v>
      </c>
      <c r="B41" s="28">
        <f t="shared" ref="B41:U41" si="27">SUM(B29:B40)</f>
        <v>1980</v>
      </c>
      <c r="C41" s="26">
        <f t="shared" si="27"/>
        <v>1</v>
      </c>
      <c r="D41" s="28">
        <f t="shared" si="27"/>
        <v>8234</v>
      </c>
      <c r="E41" s="26">
        <f t="shared" si="27"/>
        <v>0.99999999999999989</v>
      </c>
      <c r="F41" s="28">
        <f t="shared" si="27"/>
        <v>3408</v>
      </c>
      <c r="G41" s="26">
        <f t="shared" si="27"/>
        <v>1</v>
      </c>
      <c r="H41" s="28">
        <f t="shared" si="27"/>
        <v>10352</v>
      </c>
      <c r="I41" s="26">
        <f t="shared" si="27"/>
        <v>1</v>
      </c>
      <c r="J41" s="28">
        <f t="shared" si="27"/>
        <v>13841</v>
      </c>
      <c r="K41" s="26">
        <f t="shared" si="27"/>
        <v>1</v>
      </c>
      <c r="L41" s="28">
        <f t="shared" si="27"/>
        <v>4825</v>
      </c>
      <c r="M41" s="26">
        <f t="shared" si="27"/>
        <v>1</v>
      </c>
      <c r="N41" s="28">
        <f t="shared" si="27"/>
        <v>3006</v>
      </c>
      <c r="O41" s="26">
        <f t="shared" si="27"/>
        <v>1</v>
      </c>
      <c r="P41" s="28">
        <f t="shared" si="27"/>
        <v>11253</v>
      </c>
      <c r="Q41" s="26">
        <f t="shared" si="27"/>
        <v>1</v>
      </c>
      <c r="R41" s="28">
        <f t="shared" si="27"/>
        <v>5831</v>
      </c>
      <c r="S41" s="26">
        <f t="shared" si="27"/>
        <v>1</v>
      </c>
      <c r="T41" s="23">
        <f t="shared" si="27"/>
        <v>5687</v>
      </c>
      <c r="U41" s="26">
        <f t="shared" si="27"/>
        <v>1.0000000000000002</v>
      </c>
      <c r="V41" s="23">
        <f t="shared" ref="V41:W41" si="28">SUM(V29:V40)</f>
        <v>68417</v>
      </c>
      <c r="W41" s="26">
        <f t="shared" si="28"/>
        <v>1</v>
      </c>
    </row>
    <row r="42" spans="1:23" x14ac:dyDescent="0.3">
      <c r="A42" s="2"/>
      <c r="B42" s="3"/>
      <c r="C42" s="6"/>
      <c r="D42" s="7"/>
      <c r="E42" s="6"/>
      <c r="F42" s="3"/>
      <c r="G42" s="6"/>
      <c r="H42" s="7"/>
      <c r="I42" s="6"/>
      <c r="J42" s="7"/>
      <c r="K42" s="6"/>
      <c r="L42" s="7"/>
      <c r="M42" s="6"/>
      <c r="N42" s="3"/>
      <c r="O42" s="6"/>
      <c r="P42" s="3"/>
      <c r="Q42" s="6"/>
      <c r="R42" s="8"/>
      <c r="S42" s="6"/>
    </row>
    <row r="43" spans="1:23" s="54" customFormat="1" x14ac:dyDescent="0.3"/>
    <row r="44" spans="1:23" ht="15.6" x14ac:dyDescent="0.3">
      <c r="A44" s="30" t="s">
        <v>0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</row>
    <row r="45" spans="1:23" x14ac:dyDescent="0.3">
      <c r="A45" s="32" t="s">
        <v>12</v>
      </c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</row>
    <row r="46" spans="1:23" x14ac:dyDescent="0.3">
      <c r="A46" s="33" t="s">
        <v>91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</row>
    <row r="47" spans="1:23" x14ac:dyDescent="0.3">
      <c r="A47" s="46" t="s">
        <v>86</v>
      </c>
      <c r="B47" s="34" t="s">
        <v>2</v>
      </c>
      <c r="C47" s="35"/>
      <c r="D47" s="35"/>
      <c r="E47" s="35"/>
      <c r="F47" s="35"/>
      <c r="G47" s="35"/>
      <c r="H47" s="35"/>
      <c r="I47" s="36"/>
      <c r="J47" s="34" t="s">
        <v>3</v>
      </c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6"/>
      <c r="V47" s="37" t="s">
        <v>4</v>
      </c>
      <c r="W47" s="38"/>
    </row>
    <row r="48" spans="1:23" x14ac:dyDescent="0.3">
      <c r="A48" s="47"/>
      <c r="B48" s="34" t="s">
        <v>5</v>
      </c>
      <c r="C48" s="36"/>
      <c r="D48" s="34" t="s">
        <v>6</v>
      </c>
      <c r="E48" s="36"/>
      <c r="F48" s="34" t="s">
        <v>7</v>
      </c>
      <c r="G48" s="36"/>
      <c r="H48" s="34" t="s">
        <v>8</v>
      </c>
      <c r="I48" s="36"/>
      <c r="J48" s="34" t="s">
        <v>76</v>
      </c>
      <c r="K48" s="36"/>
      <c r="L48" s="34" t="s">
        <v>77</v>
      </c>
      <c r="M48" s="36"/>
      <c r="N48" s="34" t="s">
        <v>88</v>
      </c>
      <c r="O48" s="36"/>
      <c r="P48" s="34" t="s">
        <v>78</v>
      </c>
      <c r="Q48" s="36"/>
      <c r="R48" s="34" t="s">
        <v>79</v>
      </c>
      <c r="S48" s="36"/>
      <c r="T48" s="49" t="s">
        <v>85</v>
      </c>
      <c r="U48" s="51"/>
      <c r="V48" s="39"/>
      <c r="W48" s="40"/>
    </row>
    <row r="49" spans="1:23" x14ac:dyDescent="0.3">
      <c r="A49" s="48"/>
      <c r="B49" s="23" t="s">
        <v>9</v>
      </c>
      <c r="C49" s="24" t="s">
        <v>10</v>
      </c>
      <c r="D49" s="23" t="s">
        <v>9</v>
      </c>
      <c r="E49" s="24" t="s">
        <v>10</v>
      </c>
      <c r="F49" s="23" t="s">
        <v>9</v>
      </c>
      <c r="G49" s="24" t="s">
        <v>10</v>
      </c>
      <c r="H49" s="23" t="s">
        <v>9</v>
      </c>
      <c r="I49" s="24" t="s">
        <v>10</v>
      </c>
      <c r="J49" s="23" t="s">
        <v>9</v>
      </c>
      <c r="K49" s="24" t="s">
        <v>10</v>
      </c>
      <c r="L49" s="23" t="s">
        <v>9</v>
      </c>
      <c r="M49" s="24" t="s">
        <v>10</v>
      </c>
      <c r="N49" s="23" t="s">
        <v>9</v>
      </c>
      <c r="O49" s="24" t="s">
        <v>10</v>
      </c>
      <c r="P49" s="23" t="s">
        <v>9</v>
      </c>
      <c r="Q49" s="24" t="s">
        <v>10</v>
      </c>
      <c r="R49" s="23" t="s">
        <v>9</v>
      </c>
      <c r="S49" s="24" t="s">
        <v>10</v>
      </c>
      <c r="T49" s="23" t="s">
        <v>9</v>
      </c>
      <c r="U49" s="24" t="s">
        <v>10</v>
      </c>
      <c r="V49" s="23" t="s">
        <v>9</v>
      </c>
      <c r="W49" s="24" t="s">
        <v>10</v>
      </c>
    </row>
    <row r="50" spans="1:23" x14ac:dyDescent="0.3">
      <c r="A50" s="15" t="s">
        <v>13</v>
      </c>
      <c r="B50" s="16">
        <v>0</v>
      </c>
      <c r="C50" s="11">
        <f t="shared" ref="C50:C70" si="29">B50/$B$71</f>
        <v>0</v>
      </c>
      <c r="D50" s="16">
        <v>0</v>
      </c>
      <c r="E50" s="11">
        <f t="shared" ref="E50:E70" si="30">D50/$D$71</f>
        <v>0</v>
      </c>
      <c r="F50" s="16">
        <v>0</v>
      </c>
      <c r="G50" s="11">
        <f t="shared" ref="G50:G70" si="31">F50/$F$71</f>
        <v>0</v>
      </c>
      <c r="H50" s="16">
        <v>0</v>
      </c>
      <c r="I50" s="11">
        <f t="shared" ref="I50:I70" si="32">H50/$H$71</f>
        <v>0</v>
      </c>
      <c r="J50" s="16">
        <v>0</v>
      </c>
      <c r="K50" s="11">
        <f t="shared" ref="K50:K70" si="33">J50/$J$71</f>
        <v>0</v>
      </c>
      <c r="L50" s="16">
        <v>0</v>
      </c>
      <c r="M50" s="11">
        <f t="shared" ref="M50:M70" si="34">L50/$L$71</f>
        <v>0</v>
      </c>
      <c r="N50" s="16">
        <v>0</v>
      </c>
      <c r="O50" s="11">
        <f t="shared" ref="O50:O70" si="35">N50/$N$71</f>
        <v>0</v>
      </c>
      <c r="P50" s="16">
        <v>0</v>
      </c>
      <c r="Q50" s="11">
        <f t="shared" ref="Q50:Q70" si="36">P50/$P$71</f>
        <v>0</v>
      </c>
      <c r="R50" s="17">
        <v>0</v>
      </c>
      <c r="S50" s="11">
        <f t="shared" ref="S50:S70" si="37">R50/$R$71</f>
        <v>0</v>
      </c>
      <c r="T50" s="29">
        <v>0</v>
      </c>
      <c r="U50" s="11">
        <f t="shared" ref="U50:U70" si="38">T50/$T$71</f>
        <v>0</v>
      </c>
      <c r="V50" s="12">
        <f>B50+D50+F50+H50+J50+L50+N50+P50+R50+T50</f>
        <v>0</v>
      </c>
      <c r="W50" s="11">
        <f>V50/$V$71</f>
        <v>0</v>
      </c>
    </row>
    <row r="51" spans="1:23" x14ac:dyDescent="0.3">
      <c r="A51" s="15" t="s">
        <v>60</v>
      </c>
      <c r="B51" s="16">
        <v>1</v>
      </c>
      <c r="C51" s="11">
        <f t="shared" si="29"/>
        <v>1.4492753623188406E-2</v>
      </c>
      <c r="D51" s="16">
        <v>1</v>
      </c>
      <c r="E51" s="11">
        <f t="shared" si="30"/>
        <v>5.1282051282051282E-3</v>
      </c>
      <c r="F51" s="16">
        <v>0</v>
      </c>
      <c r="G51" s="11">
        <f t="shared" si="31"/>
        <v>0</v>
      </c>
      <c r="H51" s="16">
        <v>0</v>
      </c>
      <c r="I51" s="11">
        <f t="shared" si="32"/>
        <v>0</v>
      </c>
      <c r="J51" s="16">
        <v>0</v>
      </c>
      <c r="K51" s="11">
        <f t="shared" si="33"/>
        <v>0</v>
      </c>
      <c r="L51" s="16">
        <v>0</v>
      </c>
      <c r="M51" s="11">
        <f t="shared" si="34"/>
        <v>0</v>
      </c>
      <c r="N51" s="16">
        <v>0</v>
      </c>
      <c r="O51" s="11">
        <f t="shared" si="35"/>
        <v>0</v>
      </c>
      <c r="P51" s="16">
        <v>0</v>
      </c>
      <c r="Q51" s="11">
        <f t="shared" si="36"/>
        <v>0</v>
      </c>
      <c r="R51" s="17">
        <v>0</v>
      </c>
      <c r="S51" s="11">
        <f t="shared" si="37"/>
        <v>0</v>
      </c>
      <c r="T51" s="29">
        <v>0</v>
      </c>
      <c r="U51" s="11">
        <f t="shared" si="38"/>
        <v>0</v>
      </c>
      <c r="V51" s="12">
        <f t="shared" ref="V51:V70" si="39">B51+D51+F51+H51+J51+L51+N51+P51+R51+T51</f>
        <v>2</v>
      </c>
      <c r="W51" s="11">
        <f t="shared" ref="W51:W70" si="40">V51/$V$71</f>
        <v>1.4847809948032665E-3</v>
      </c>
    </row>
    <row r="52" spans="1:23" x14ac:dyDescent="0.3">
      <c r="A52" s="15" t="s">
        <v>14</v>
      </c>
      <c r="B52" s="16">
        <v>58</v>
      </c>
      <c r="C52" s="11">
        <f t="shared" si="29"/>
        <v>0.84057971014492749</v>
      </c>
      <c r="D52" s="16">
        <v>147</v>
      </c>
      <c r="E52" s="11">
        <f t="shared" si="30"/>
        <v>0.75384615384615383</v>
      </c>
      <c r="F52" s="16">
        <v>83</v>
      </c>
      <c r="G52" s="11">
        <f t="shared" si="31"/>
        <v>0.91208791208791207</v>
      </c>
      <c r="H52" s="16">
        <v>148</v>
      </c>
      <c r="I52" s="11">
        <f t="shared" si="32"/>
        <v>0.80434782608695654</v>
      </c>
      <c r="J52" s="16">
        <v>152</v>
      </c>
      <c r="K52" s="11">
        <f t="shared" si="33"/>
        <v>0.71698113207547165</v>
      </c>
      <c r="L52" s="16">
        <v>87</v>
      </c>
      <c r="M52" s="11">
        <f t="shared" si="34"/>
        <v>0.75</v>
      </c>
      <c r="N52" s="16">
        <v>72</v>
      </c>
      <c r="O52" s="11">
        <f t="shared" si="35"/>
        <v>1</v>
      </c>
      <c r="P52" s="16">
        <v>94</v>
      </c>
      <c r="Q52" s="11">
        <f t="shared" si="36"/>
        <v>0.752</v>
      </c>
      <c r="R52" s="17">
        <v>127</v>
      </c>
      <c r="S52" s="11">
        <f t="shared" si="37"/>
        <v>0.89436619718309862</v>
      </c>
      <c r="T52" s="29">
        <v>117</v>
      </c>
      <c r="U52" s="11">
        <f t="shared" si="38"/>
        <v>0.82978723404255317</v>
      </c>
      <c r="V52" s="12">
        <f t="shared" si="39"/>
        <v>1085</v>
      </c>
      <c r="W52" s="11">
        <f t="shared" si="40"/>
        <v>0.80549368968077206</v>
      </c>
    </row>
    <row r="53" spans="1:23" x14ac:dyDescent="0.3">
      <c r="A53" s="15" t="s">
        <v>15</v>
      </c>
      <c r="B53" s="16">
        <v>0</v>
      </c>
      <c r="C53" s="11">
        <f t="shared" si="29"/>
        <v>0</v>
      </c>
      <c r="D53" s="16">
        <v>0</v>
      </c>
      <c r="E53" s="11">
        <f t="shared" si="30"/>
        <v>0</v>
      </c>
      <c r="F53" s="16">
        <v>0</v>
      </c>
      <c r="G53" s="11">
        <f t="shared" si="31"/>
        <v>0</v>
      </c>
      <c r="H53" s="16">
        <v>0</v>
      </c>
      <c r="I53" s="11">
        <f t="shared" si="32"/>
        <v>0</v>
      </c>
      <c r="J53" s="16">
        <v>0</v>
      </c>
      <c r="K53" s="11">
        <f t="shared" si="33"/>
        <v>0</v>
      </c>
      <c r="L53" s="16">
        <v>0</v>
      </c>
      <c r="M53" s="11">
        <f t="shared" si="34"/>
        <v>0</v>
      </c>
      <c r="N53" s="16">
        <v>0</v>
      </c>
      <c r="O53" s="11">
        <f t="shared" si="35"/>
        <v>0</v>
      </c>
      <c r="P53" s="16">
        <v>0</v>
      </c>
      <c r="Q53" s="11">
        <f t="shared" si="36"/>
        <v>0</v>
      </c>
      <c r="R53" s="17">
        <v>0</v>
      </c>
      <c r="S53" s="11">
        <f t="shared" si="37"/>
        <v>0</v>
      </c>
      <c r="T53" s="29">
        <v>0</v>
      </c>
      <c r="U53" s="11">
        <f t="shared" si="38"/>
        <v>0</v>
      </c>
      <c r="V53" s="12">
        <f t="shared" si="39"/>
        <v>0</v>
      </c>
      <c r="W53" s="11">
        <f t="shared" si="40"/>
        <v>0</v>
      </c>
    </row>
    <row r="54" spans="1:23" x14ac:dyDescent="0.3">
      <c r="A54" s="15" t="s">
        <v>16</v>
      </c>
      <c r="B54" s="16">
        <v>0</v>
      </c>
      <c r="C54" s="11">
        <f t="shared" si="29"/>
        <v>0</v>
      </c>
      <c r="D54" s="16">
        <v>0</v>
      </c>
      <c r="E54" s="11">
        <f t="shared" si="30"/>
        <v>0</v>
      </c>
      <c r="F54" s="16">
        <v>0</v>
      </c>
      <c r="G54" s="11">
        <f t="shared" si="31"/>
        <v>0</v>
      </c>
      <c r="H54" s="16">
        <v>0</v>
      </c>
      <c r="I54" s="11">
        <f t="shared" si="32"/>
        <v>0</v>
      </c>
      <c r="J54" s="16">
        <v>0</v>
      </c>
      <c r="K54" s="11">
        <f t="shared" si="33"/>
        <v>0</v>
      </c>
      <c r="L54" s="16">
        <v>0</v>
      </c>
      <c r="M54" s="11">
        <f t="shared" si="34"/>
        <v>0</v>
      </c>
      <c r="N54" s="16">
        <v>0</v>
      </c>
      <c r="O54" s="11">
        <f t="shared" si="35"/>
        <v>0</v>
      </c>
      <c r="P54" s="16">
        <v>0</v>
      </c>
      <c r="Q54" s="11">
        <f t="shared" si="36"/>
        <v>0</v>
      </c>
      <c r="R54" s="17">
        <v>0</v>
      </c>
      <c r="S54" s="11">
        <f t="shared" si="37"/>
        <v>0</v>
      </c>
      <c r="T54" s="29">
        <v>0</v>
      </c>
      <c r="U54" s="11">
        <f t="shared" si="38"/>
        <v>0</v>
      </c>
      <c r="V54" s="12">
        <f t="shared" si="39"/>
        <v>0</v>
      </c>
      <c r="W54" s="11">
        <f t="shared" si="40"/>
        <v>0</v>
      </c>
    </row>
    <row r="55" spans="1:23" x14ac:dyDescent="0.3">
      <c r="A55" s="15" t="s">
        <v>17</v>
      </c>
      <c r="B55" s="16">
        <v>0</v>
      </c>
      <c r="C55" s="11">
        <f t="shared" si="29"/>
        <v>0</v>
      </c>
      <c r="D55" s="16">
        <v>0</v>
      </c>
      <c r="E55" s="11">
        <f t="shared" si="30"/>
        <v>0</v>
      </c>
      <c r="F55" s="16">
        <v>0</v>
      </c>
      <c r="G55" s="11">
        <f t="shared" si="31"/>
        <v>0</v>
      </c>
      <c r="H55" s="16">
        <v>0</v>
      </c>
      <c r="I55" s="11">
        <f t="shared" si="32"/>
        <v>0</v>
      </c>
      <c r="J55" s="16">
        <v>0</v>
      </c>
      <c r="K55" s="11">
        <f t="shared" si="33"/>
        <v>0</v>
      </c>
      <c r="L55" s="16">
        <v>0</v>
      </c>
      <c r="M55" s="11">
        <f t="shared" si="34"/>
        <v>0</v>
      </c>
      <c r="N55" s="16">
        <v>0</v>
      </c>
      <c r="O55" s="11">
        <f t="shared" si="35"/>
        <v>0</v>
      </c>
      <c r="P55" s="16">
        <v>0</v>
      </c>
      <c r="Q55" s="11">
        <f t="shared" si="36"/>
        <v>0</v>
      </c>
      <c r="R55" s="17">
        <v>0</v>
      </c>
      <c r="S55" s="11">
        <f t="shared" si="37"/>
        <v>0</v>
      </c>
      <c r="T55" s="29">
        <v>0</v>
      </c>
      <c r="U55" s="11">
        <f t="shared" si="38"/>
        <v>0</v>
      </c>
      <c r="V55" s="12">
        <f t="shared" si="39"/>
        <v>0</v>
      </c>
      <c r="W55" s="11">
        <f t="shared" si="40"/>
        <v>0</v>
      </c>
    </row>
    <row r="56" spans="1:23" x14ac:dyDescent="0.3">
      <c r="A56" s="15" t="s">
        <v>18</v>
      </c>
      <c r="B56" s="16">
        <v>0</v>
      </c>
      <c r="C56" s="11">
        <f t="shared" si="29"/>
        <v>0</v>
      </c>
      <c r="D56" s="16">
        <v>0</v>
      </c>
      <c r="E56" s="11">
        <f t="shared" si="30"/>
        <v>0</v>
      </c>
      <c r="F56" s="16">
        <v>0</v>
      </c>
      <c r="G56" s="11">
        <f t="shared" si="31"/>
        <v>0</v>
      </c>
      <c r="H56" s="16">
        <v>0</v>
      </c>
      <c r="I56" s="11">
        <f t="shared" si="32"/>
        <v>0</v>
      </c>
      <c r="J56" s="16">
        <v>0</v>
      </c>
      <c r="K56" s="11">
        <f t="shared" si="33"/>
        <v>0</v>
      </c>
      <c r="L56" s="16">
        <v>0</v>
      </c>
      <c r="M56" s="11">
        <f t="shared" si="34"/>
        <v>0</v>
      </c>
      <c r="N56" s="16">
        <v>0</v>
      </c>
      <c r="O56" s="11">
        <f t="shared" si="35"/>
        <v>0</v>
      </c>
      <c r="P56" s="16">
        <v>0</v>
      </c>
      <c r="Q56" s="11">
        <f t="shared" si="36"/>
        <v>0</v>
      </c>
      <c r="R56" s="17">
        <v>0</v>
      </c>
      <c r="S56" s="11">
        <f t="shared" si="37"/>
        <v>0</v>
      </c>
      <c r="T56" s="29">
        <v>0</v>
      </c>
      <c r="U56" s="11">
        <f t="shared" si="38"/>
        <v>0</v>
      </c>
      <c r="V56" s="12">
        <f t="shared" si="39"/>
        <v>0</v>
      </c>
      <c r="W56" s="11">
        <f t="shared" si="40"/>
        <v>0</v>
      </c>
    </row>
    <row r="57" spans="1:23" x14ac:dyDescent="0.3">
      <c r="A57" s="15" t="s">
        <v>59</v>
      </c>
      <c r="B57" s="16">
        <v>0</v>
      </c>
      <c r="C57" s="11">
        <f t="shared" si="29"/>
        <v>0</v>
      </c>
      <c r="D57" s="16">
        <v>0</v>
      </c>
      <c r="E57" s="11">
        <f t="shared" si="30"/>
        <v>0</v>
      </c>
      <c r="F57" s="16">
        <v>0</v>
      </c>
      <c r="G57" s="11">
        <f t="shared" si="31"/>
        <v>0</v>
      </c>
      <c r="H57" s="16">
        <v>0</v>
      </c>
      <c r="I57" s="11">
        <f t="shared" si="32"/>
        <v>0</v>
      </c>
      <c r="J57" s="16">
        <v>0</v>
      </c>
      <c r="K57" s="11">
        <f t="shared" si="33"/>
        <v>0</v>
      </c>
      <c r="L57" s="16">
        <v>0</v>
      </c>
      <c r="M57" s="11">
        <f t="shared" si="34"/>
        <v>0</v>
      </c>
      <c r="N57" s="16">
        <v>0</v>
      </c>
      <c r="O57" s="11">
        <f t="shared" si="35"/>
        <v>0</v>
      </c>
      <c r="P57" s="16">
        <v>0</v>
      </c>
      <c r="Q57" s="11">
        <f t="shared" si="36"/>
        <v>0</v>
      </c>
      <c r="R57" s="17">
        <v>0</v>
      </c>
      <c r="S57" s="11">
        <f t="shared" si="37"/>
        <v>0</v>
      </c>
      <c r="T57" s="29">
        <v>0</v>
      </c>
      <c r="U57" s="11">
        <f t="shared" si="38"/>
        <v>0</v>
      </c>
      <c r="V57" s="12">
        <f t="shared" si="39"/>
        <v>0</v>
      </c>
      <c r="W57" s="11">
        <f t="shared" si="40"/>
        <v>0</v>
      </c>
    </row>
    <row r="58" spans="1:23" x14ac:dyDescent="0.3">
      <c r="A58" s="15" t="s">
        <v>19</v>
      </c>
      <c r="B58" s="16">
        <v>0</v>
      </c>
      <c r="C58" s="11">
        <f t="shared" si="29"/>
        <v>0</v>
      </c>
      <c r="D58" s="16">
        <v>0</v>
      </c>
      <c r="E58" s="11">
        <f t="shared" si="30"/>
        <v>0</v>
      </c>
      <c r="F58" s="16">
        <v>0</v>
      </c>
      <c r="G58" s="11">
        <f t="shared" si="31"/>
        <v>0</v>
      </c>
      <c r="H58" s="16">
        <v>0</v>
      </c>
      <c r="I58" s="11">
        <f t="shared" si="32"/>
        <v>0</v>
      </c>
      <c r="J58" s="16">
        <v>0</v>
      </c>
      <c r="K58" s="11">
        <f t="shared" si="33"/>
        <v>0</v>
      </c>
      <c r="L58" s="16">
        <v>0</v>
      </c>
      <c r="M58" s="11">
        <f t="shared" si="34"/>
        <v>0</v>
      </c>
      <c r="N58" s="16">
        <v>0</v>
      </c>
      <c r="O58" s="11">
        <f t="shared" si="35"/>
        <v>0</v>
      </c>
      <c r="P58" s="16">
        <v>0</v>
      </c>
      <c r="Q58" s="11">
        <f t="shared" si="36"/>
        <v>0</v>
      </c>
      <c r="R58" s="17">
        <v>0</v>
      </c>
      <c r="S58" s="11">
        <f t="shared" si="37"/>
        <v>0</v>
      </c>
      <c r="T58" s="29">
        <v>0</v>
      </c>
      <c r="U58" s="11">
        <f t="shared" si="38"/>
        <v>0</v>
      </c>
      <c r="V58" s="12">
        <f t="shared" si="39"/>
        <v>0</v>
      </c>
      <c r="W58" s="11">
        <f t="shared" si="40"/>
        <v>0</v>
      </c>
    </row>
    <row r="59" spans="1:23" x14ac:dyDescent="0.3">
      <c r="A59" s="15" t="s">
        <v>20</v>
      </c>
      <c r="B59" s="16">
        <v>9</v>
      </c>
      <c r="C59" s="11">
        <f t="shared" si="29"/>
        <v>0.13043478260869565</v>
      </c>
      <c r="D59" s="16">
        <v>5</v>
      </c>
      <c r="E59" s="11">
        <f t="shared" si="30"/>
        <v>2.564102564102564E-2</v>
      </c>
      <c r="F59" s="16">
        <v>1</v>
      </c>
      <c r="G59" s="11">
        <f t="shared" si="31"/>
        <v>1.098901098901099E-2</v>
      </c>
      <c r="H59" s="16">
        <v>3</v>
      </c>
      <c r="I59" s="11">
        <f t="shared" si="32"/>
        <v>1.6304347826086956E-2</v>
      </c>
      <c r="J59" s="16">
        <v>1</v>
      </c>
      <c r="K59" s="11">
        <f t="shared" si="33"/>
        <v>4.7169811320754715E-3</v>
      </c>
      <c r="L59" s="16">
        <v>0</v>
      </c>
      <c r="M59" s="11">
        <f t="shared" si="34"/>
        <v>0</v>
      </c>
      <c r="N59" s="16">
        <v>0</v>
      </c>
      <c r="O59" s="11">
        <f t="shared" si="35"/>
        <v>0</v>
      </c>
      <c r="P59" s="16">
        <v>0</v>
      </c>
      <c r="Q59" s="11">
        <f t="shared" si="36"/>
        <v>0</v>
      </c>
      <c r="R59" s="17">
        <v>0</v>
      </c>
      <c r="S59" s="11">
        <f t="shared" si="37"/>
        <v>0</v>
      </c>
      <c r="T59" s="29">
        <v>1</v>
      </c>
      <c r="U59" s="11">
        <f t="shared" si="38"/>
        <v>7.0921985815602835E-3</v>
      </c>
      <c r="V59" s="12">
        <f t="shared" si="39"/>
        <v>20</v>
      </c>
      <c r="W59" s="11">
        <f t="shared" si="40"/>
        <v>1.4847809948032665E-2</v>
      </c>
    </row>
    <row r="60" spans="1:23" x14ac:dyDescent="0.3">
      <c r="A60" s="15" t="s">
        <v>21</v>
      </c>
      <c r="B60" s="16">
        <v>0</v>
      </c>
      <c r="C60" s="11">
        <f t="shared" si="29"/>
        <v>0</v>
      </c>
      <c r="D60" s="16">
        <v>2</v>
      </c>
      <c r="E60" s="11">
        <f t="shared" si="30"/>
        <v>1.0256410256410256E-2</v>
      </c>
      <c r="F60" s="16">
        <v>0</v>
      </c>
      <c r="G60" s="11">
        <f t="shared" si="31"/>
        <v>0</v>
      </c>
      <c r="H60" s="16">
        <v>0</v>
      </c>
      <c r="I60" s="11">
        <f t="shared" si="32"/>
        <v>0</v>
      </c>
      <c r="J60" s="16">
        <v>1</v>
      </c>
      <c r="K60" s="11">
        <f t="shared" si="33"/>
        <v>4.7169811320754715E-3</v>
      </c>
      <c r="L60" s="16">
        <v>0</v>
      </c>
      <c r="M60" s="11">
        <f t="shared" si="34"/>
        <v>0</v>
      </c>
      <c r="N60" s="16">
        <v>0</v>
      </c>
      <c r="O60" s="11">
        <f t="shared" si="35"/>
        <v>0</v>
      </c>
      <c r="P60" s="16">
        <v>0</v>
      </c>
      <c r="Q60" s="11">
        <f t="shared" si="36"/>
        <v>0</v>
      </c>
      <c r="R60" s="17">
        <v>0</v>
      </c>
      <c r="S60" s="11">
        <f t="shared" si="37"/>
        <v>0</v>
      </c>
      <c r="T60" s="29">
        <v>0</v>
      </c>
      <c r="U60" s="11">
        <f t="shared" si="38"/>
        <v>0</v>
      </c>
      <c r="V60" s="12">
        <f t="shared" si="39"/>
        <v>3</v>
      </c>
      <c r="W60" s="11">
        <f t="shared" si="40"/>
        <v>2.2271714922048997E-3</v>
      </c>
    </row>
    <row r="61" spans="1:23" x14ac:dyDescent="0.3">
      <c r="A61" s="15" t="s">
        <v>22</v>
      </c>
      <c r="B61" s="16">
        <v>0</v>
      </c>
      <c r="C61" s="11">
        <f t="shared" si="29"/>
        <v>0</v>
      </c>
      <c r="D61" s="16">
        <v>0</v>
      </c>
      <c r="E61" s="11">
        <f t="shared" si="30"/>
        <v>0</v>
      </c>
      <c r="F61" s="16">
        <v>0</v>
      </c>
      <c r="G61" s="11">
        <f t="shared" si="31"/>
        <v>0</v>
      </c>
      <c r="H61" s="16">
        <v>20</v>
      </c>
      <c r="I61" s="11">
        <f t="shared" si="32"/>
        <v>0.10869565217391304</v>
      </c>
      <c r="J61" s="16">
        <v>0</v>
      </c>
      <c r="K61" s="11">
        <f t="shared" si="33"/>
        <v>0</v>
      </c>
      <c r="L61" s="16">
        <v>1</v>
      </c>
      <c r="M61" s="11">
        <f t="shared" si="34"/>
        <v>8.6206896551724137E-3</v>
      </c>
      <c r="N61" s="16">
        <v>0</v>
      </c>
      <c r="O61" s="11">
        <f t="shared" si="35"/>
        <v>0</v>
      </c>
      <c r="P61" s="16">
        <v>11</v>
      </c>
      <c r="Q61" s="11">
        <f t="shared" si="36"/>
        <v>8.7999999999999995E-2</v>
      </c>
      <c r="R61" s="17">
        <v>7</v>
      </c>
      <c r="S61" s="11">
        <f t="shared" si="37"/>
        <v>4.9295774647887321E-2</v>
      </c>
      <c r="T61" s="29">
        <v>2</v>
      </c>
      <c r="U61" s="11">
        <f t="shared" si="38"/>
        <v>1.4184397163120567E-2</v>
      </c>
      <c r="V61" s="12">
        <f t="shared" si="39"/>
        <v>41</v>
      </c>
      <c r="W61" s="11">
        <f t="shared" si="40"/>
        <v>3.0438010393466965E-2</v>
      </c>
    </row>
    <row r="62" spans="1:23" x14ac:dyDescent="0.3">
      <c r="A62" s="15" t="s">
        <v>23</v>
      </c>
      <c r="B62" s="16">
        <v>0</v>
      </c>
      <c r="C62" s="11">
        <f t="shared" si="29"/>
        <v>0</v>
      </c>
      <c r="D62" s="16">
        <v>0</v>
      </c>
      <c r="E62" s="11">
        <f t="shared" si="30"/>
        <v>0</v>
      </c>
      <c r="F62" s="16">
        <v>0</v>
      </c>
      <c r="G62" s="11">
        <f t="shared" si="31"/>
        <v>0</v>
      </c>
      <c r="H62" s="16">
        <v>0</v>
      </c>
      <c r="I62" s="11">
        <f t="shared" si="32"/>
        <v>0</v>
      </c>
      <c r="J62" s="16">
        <v>1</v>
      </c>
      <c r="K62" s="11">
        <f t="shared" si="33"/>
        <v>4.7169811320754715E-3</v>
      </c>
      <c r="L62" s="16">
        <v>0</v>
      </c>
      <c r="M62" s="11">
        <f t="shared" si="34"/>
        <v>0</v>
      </c>
      <c r="N62" s="16">
        <v>0</v>
      </c>
      <c r="O62" s="11">
        <f t="shared" si="35"/>
        <v>0</v>
      </c>
      <c r="P62" s="16">
        <v>0</v>
      </c>
      <c r="Q62" s="11">
        <f t="shared" si="36"/>
        <v>0</v>
      </c>
      <c r="R62" s="17">
        <v>0</v>
      </c>
      <c r="S62" s="11">
        <f t="shared" si="37"/>
        <v>0</v>
      </c>
      <c r="T62" s="29">
        <v>0</v>
      </c>
      <c r="U62" s="11">
        <f t="shared" si="38"/>
        <v>0</v>
      </c>
      <c r="V62" s="12">
        <f t="shared" si="39"/>
        <v>1</v>
      </c>
      <c r="W62" s="11">
        <f t="shared" si="40"/>
        <v>7.4239049740163323E-4</v>
      </c>
    </row>
    <row r="63" spans="1:23" x14ac:dyDescent="0.3">
      <c r="A63" s="15" t="s">
        <v>24</v>
      </c>
      <c r="B63" s="16">
        <v>0</v>
      </c>
      <c r="C63" s="11">
        <f t="shared" si="29"/>
        <v>0</v>
      </c>
      <c r="D63" s="16">
        <v>0</v>
      </c>
      <c r="E63" s="11">
        <f t="shared" si="30"/>
        <v>0</v>
      </c>
      <c r="F63" s="16">
        <v>0</v>
      </c>
      <c r="G63" s="11">
        <f t="shared" si="31"/>
        <v>0</v>
      </c>
      <c r="H63" s="16">
        <v>0</v>
      </c>
      <c r="I63" s="11">
        <f t="shared" si="32"/>
        <v>0</v>
      </c>
      <c r="J63" s="16">
        <v>0</v>
      </c>
      <c r="K63" s="11">
        <f t="shared" si="33"/>
        <v>0</v>
      </c>
      <c r="L63" s="16">
        <v>0</v>
      </c>
      <c r="M63" s="11">
        <f t="shared" si="34"/>
        <v>0</v>
      </c>
      <c r="N63" s="16">
        <v>0</v>
      </c>
      <c r="O63" s="11">
        <f t="shared" si="35"/>
        <v>0</v>
      </c>
      <c r="P63" s="16">
        <v>0</v>
      </c>
      <c r="Q63" s="11">
        <f t="shared" si="36"/>
        <v>0</v>
      </c>
      <c r="R63" s="17">
        <v>0</v>
      </c>
      <c r="S63" s="11">
        <f t="shared" si="37"/>
        <v>0</v>
      </c>
      <c r="T63" s="29">
        <v>0</v>
      </c>
      <c r="U63" s="11">
        <f t="shared" si="38"/>
        <v>0</v>
      </c>
      <c r="V63" s="12">
        <f t="shared" si="39"/>
        <v>0</v>
      </c>
      <c r="W63" s="11">
        <f t="shared" si="40"/>
        <v>0</v>
      </c>
    </row>
    <row r="64" spans="1:23" x14ac:dyDescent="0.3">
      <c r="A64" s="15" t="s">
        <v>25</v>
      </c>
      <c r="B64" s="16">
        <v>0</v>
      </c>
      <c r="C64" s="11">
        <f t="shared" si="29"/>
        <v>0</v>
      </c>
      <c r="D64" s="16">
        <v>25</v>
      </c>
      <c r="E64" s="11">
        <f t="shared" si="30"/>
        <v>0.12820512820512819</v>
      </c>
      <c r="F64" s="16">
        <v>1</v>
      </c>
      <c r="G64" s="11">
        <f t="shared" si="31"/>
        <v>1.098901098901099E-2</v>
      </c>
      <c r="H64" s="16">
        <v>0</v>
      </c>
      <c r="I64" s="11">
        <f t="shared" si="32"/>
        <v>0</v>
      </c>
      <c r="J64" s="16">
        <v>35</v>
      </c>
      <c r="K64" s="11">
        <f t="shared" si="33"/>
        <v>0.1650943396226415</v>
      </c>
      <c r="L64" s="16">
        <v>20</v>
      </c>
      <c r="M64" s="11">
        <f t="shared" si="34"/>
        <v>0.17241379310344829</v>
      </c>
      <c r="N64" s="16">
        <v>0</v>
      </c>
      <c r="O64" s="11">
        <f t="shared" si="35"/>
        <v>0</v>
      </c>
      <c r="P64" s="16">
        <v>0</v>
      </c>
      <c r="Q64" s="11">
        <f t="shared" si="36"/>
        <v>0</v>
      </c>
      <c r="R64" s="17">
        <v>5</v>
      </c>
      <c r="S64" s="11">
        <f t="shared" si="37"/>
        <v>3.5211267605633804E-2</v>
      </c>
      <c r="T64" s="29">
        <v>8</v>
      </c>
      <c r="U64" s="11">
        <f t="shared" si="38"/>
        <v>5.6737588652482268E-2</v>
      </c>
      <c r="V64" s="12">
        <f t="shared" si="39"/>
        <v>94</v>
      </c>
      <c r="W64" s="11">
        <f t="shared" si="40"/>
        <v>6.9784706755753531E-2</v>
      </c>
    </row>
    <row r="65" spans="1:23" x14ac:dyDescent="0.3">
      <c r="A65" s="15" t="s">
        <v>65</v>
      </c>
      <c r="B65" s="16">
        <v>0</v>
      </c>
      <c r="C65" s="11">
        <f t="shared" si="29"/>
        <v>0</v>
      </c>
      <c r="D65" s="16">
        <v>0</v>
      </c>
      <c r="E65" s="11">
        <f t="shared" si="30"/>
        <v>0</v>
      </c>
      <c r="F65" s="16">
        <v>2</v>
      </c>
      <c r="G65" s="11">
        <f t="shared" si="31"/>
        <v>2.197802197802198E-2</v>
      </c>
      <c r="H65" s="16">
        <v>0</v>
      </c>
      <c r="I65" s="11">
        <f t="shared" si="32"/>
        <v>0</v>
      </c>
      <c r="J65" s="16">
        <v>2</v>
      </c>
      <c r="K65" s="11">
        <f t="shared" si="33"/>
        <v>9.433962264150943E-3</v>
      </c>
      <c r="L65" s="16">
        <v>0</v>
      </c>
      <c r="M65" s="11">
        <f t="shared" si="34"/>
        <v>0</v>
      </c>
      <c r="N65" s="16">
        <v>0</v>
      </c>
      <c r="O65" s="11">
        <f t="shared" si="35"/>
        <v>0</v>
      </c>
      <c r="P65" s="16">
        <v>0</v>
      </c>
      <c r="Q65" s="11">
        <f t="shared" si="36"/>
        <v>0</v>
      </c>
      <c r="R65" s="17">
        <v>0</v>
      </c>
      <c r="S65" s="11">
        <f t="shared" si="37"/>
        <v>0</v>
      </c>
      <c r="T65" s="29">
        <v>5</v>
      </c>
      <c r="U65" s="11">
        <f t="shared" si="38"/>
        <v>3.5460992907801421E-2</v>
      </c>
      <c r="V65" s="12">
        <f t="shared" si="39"/>
        <v>9</v>
      </c>
      <c r="W65" s="11">
        <f t="shared" si="40"/>
        <v>6.6815144766146995E-3</v>
      </c>
    </row>
    <row r="66" spans="1:23" x14ac:dyDescent="0.3">
      <c r="A66" s="15" t="s">
        <v>66</v>
      </c>
      <c r="B66" s="16">
        <v>0</v>
      </c>
      <c r="C66" s="11">
        <f t="shared" si="29"/>
        <v>0</v>
      </c>
      <c r="D66" s="16">
        <v>0</v>
      </c>
      <c r="E66" s="11">
        <f t="shared" si="30"/>
        <v>0</v>
      </c>
      <c r="F66" s="16">
        <v>0</v>
      </c>
      <c r="G66" s="11">
        <f t="shared" si="31"/>
        <v>0</v>
      </c>
      <c r="H66" s="16">
        <v>0</v>
      </c>
      <c r="I66" s="11">
        <f t="shared" si="32"/>
        <v>0</v>
      </c>
      <c r="J66" s="16">
        <v>0</v>
      </c>
      <c r="K66" s="11">
        <f t="shared" si="33"/>
        <v>0</v>
      </c>
      <c r="L66" s="16">
        <v>0</v>
      </c>
      <c r="M66" s="11">
        <f t="shared" si="34"/>
        <v>0</v>
      </c>
      <c r="N66" s="16">
        <v>0</v>
      </c>
      <c r="O66" s="11">
        <f t="shared" si="35"/>
        <v>0</v>
      </c>
      <c r="P66" s="16">
        <v>0</v>
      </c>
      <c r="Q66" s="11">
        <f t="shared" si="36"/>
        <v>0</v>
      </c>
      <c r="R66" s="17">
        <v>0</v>
      </c>
      <c r="S66" s="11">
        <f t="shared" si="37"/>
        <v>0</v>
      </c>
      <c r="T66" s="29">
        <v>0</v>
      </c>
      <c r="U66" s="11">
        <f t="shared" si="38"/>
        <v>0</v>
      </c>
      <c r="V66" s="12">
        <f t="shared" si="39"/>
        <v>0</v>
      </c>
      <c r="W66" s="11">
        <f t="shared" si="40"/>
        <v>0</v>
      </c>
    </row>
    <row r="67" spans="1:23" x14ac:dyDescent="0.3">
      <c r="A67" s="15" t="s">
        <v>92</v>
      </c>
      <c r="B67" s="16">
        <v>1</v>
      </c>
      <c r="C67" s="11">
        <f t="shared" si="29"/>
        <v>1.4492753623188406E-2</v>
      </c>
      <c r="D67" s="16">
        <v>4</v>
      </c>
      <c r="E67" s="11">
        <f t="shared" si="30"/>
        <v>2.0512820512820513E-2</v>
      </c>
      <c r="F67" s="16">
        <v>4</v>
      </c>
      <c r="G67" s="11">
        <f t="shared" si="31"/>
        <v>4.3956043956043959E-2</v>
      </c>
      <c r="H67" s="16">
        <v>9</v>
      </c>
      <c r="I67" s="11">
        <f t="shared" si="32"/>
        <v>4.8913043478260872E-2</v>
      </c>
      <c r="J67" s="16">
        <v>1</v>
      </c>
      <c r="K67" s="11">
        <f t="shared" si="33"/>
        <v>4.7169811320754715E-3</v>
      </c>
      <c r="L67" s="16">
        <v>0</v>
      </c>
      <c r="M67" s="11">
        <f t="shared" si="34"/>
        <v>0</v>
      </c>
      <c r="N67" s="16">
        <v>0</v>
      </c>
      <c r="O67" s="11">
        <f t="shared" si="35"/>
        <v>0</v>
      </c>
      <c r="P67" s="16">
        <v>13</v>
      </c>
      <c r="Q67" s="11">
        <f t="shared" si="36"/>
        <v>0.104</v>
      </c>
      <c r="R67" s="17">
        <v>0</v>
      </c>
      <c r="S67" s="11">
        <f t="shared" si="37"/>
        <v>0</v>
      </c>
      <c r="T67" s="29">
        <v>4</v>
      </c>
      <c r="U67" s="11">
        <f t="shared" si="38"/>
        <v>2.8368794326241134E-2</v>
      </c>
      <c r="V67" s="12">
        <f t="shared" si="39"/>
        <v>36</v>
      </c>
      <c r="W67" s="11">
        <f t="shared" si="40"/>
        <v>2.6726057906458798E-2</v>
      </c>
    </row>
    <row r="68" spans="1:23" x14ac:dyDescent="0.3">
      <c r="A68" s="15" t="s">
        <v>90</v>
      </c>
      <c r="B68" s="16">
        <v>0</v>
      </c>
      <c r="C68" s="11">
        <f t="shared" si="29"/>
        <v>0</v>
      </c>
      <c r="D68" s="16">
        <v>5</v>
      </c>
      <c r="E68" s="11">
        <f t="shared" si="30"/>
        <v>2.564102564102564E-2</v>
      </c>
      <c r="F68" s="16">
        <v>0</v>
      </c>
      <c r="G68" s="11">
        <f t="shared" si="31"/>
        <v>0</v>
      </c>
      <c r="H68" s="16">
        <v>0</v>
      </c>
      <c r="I68" s="11">
        <f t="shared" si="32"/>
        <v>0</v>
      </c>
      <c r="J68" s="16">
        <v>6</v>
      </c>
      <c r="K68" s="11">
        <f t="shared" si="33"/>
        <v>2.8301886792452831E-2</v>
      </c>
      <c r="L68" s="16">
        <v>0</v>
      </c>
      <c r="M68" s="11">
        <f t="shared" si="34"/>
        <v>0</v>
      </c>
      <c r="N68" s="16">
        <v>0</v>
      </c>
      <c r="O68" s="11">
        <f t="shared" si="35"/>
        <v>0</v>
      </c>
      <c r="P68" s="16">
        <v>1</v>
      </c>
      <c r="Q68" s="11">
        <f t="shared" si="36"/>
        <v>8.0000000000000002E-3</v>
      </c>
      <c r="R68" s="17">
        <v>0</v>
      </c>
      <c r="S68" s="11">
        <f t="shared" si="37"/>
        <v>0</v>
      </c>
      <c r="T68" s="29">
        <v>0</v>
      </c>
      <c r="U68" s="11">
        <f t="shared" si="38"/>
        <v>0</v>
      </c>
      <c r="V68" s="12">
        <f t="shared" si="39"/>
        <v>12</v>
      </c>
      <c r="W68" s="11">
        <f t="shared" si="40"/>
        <v>8.9086859688195987E-3</v>
      </c>
    </row>
    <row r="69" spans="1:23" x14ac:dyDescent="0.3">
      <c r="A69" s="15" t="s">
        <v>84</v>
      </c>
      <c r="B69" s="16">
        <v>0</v>
      </c>
      <c r="C69" s="11">
        <f t="shared" si="29"/>
        <v>0</v>
      </c>
      <c r="D69" s="16">
        <v>0</v>
      </c>
      <c r="E69" s="11">
        <f t="shared" si="30"/>
        <v>0</v>
      </c>
      <c r="F69" s="16">
        <v>0</v>
      </c>
      <c r="G69" s="11">
        <f t="shared" si="31"/>
        <v>0</v>
      </c>
      <c r="H69" s="16">
        <v>0</v>
      </c>
      <c r="I69" s="11">
        <f t="shared" si="32"/>
        <v>0</v>
      </c>
      <c r="J69" s="16">
        <v>11</v>
      </c>
      <c r="K69" s="11">
        <f t="shared" si="33"/>
        <v>5.1886792452830191E-2</v>
      </c>
      <c r="L69" s="16">
        <v>1</v>
      </c>
      <c r="M69" s="11">
        <f t="shared" si="34"/>
        <v>8.6206896551724137E-3</v>
      </c>
      <c r="N69" s="16">
        <v>0</v>
      </c>
      <c r="O69" s="11">
        <f t="shared" si="35"/>
        <v>0</v>
      </c>
      <c r="P69" s="16">
        <v>2</v>
      </c>
      <c r="Q69" s="11">
        <f t="shared" si="36"/>
        <v>1.6E-2</v>
      </c>
      <c r="R69" s="17">
        <v>0</v>
      </c>
      <c r="S69" s="11">
        <f t="shared" si="37"/>
        <v>0</v>
      </c>
      <c r="T69" s="29">
        <v>2</v>
      </c>
      <c r="U69" s="11">
        <f t="shared" si="38"/>
        <v>1.4184397163120567E-2</v>
      </c>
      <c r="V69" s="12">
        <f t="shared" si="39"/>
        <v>16</v>
      </c>
      <c r="W69" s="11">
        <f t="shared" si="40"/>
        <v>1.1878247958426132E-2</v>
      </c>
    </row>
    <row r="70" spans="1:23" x14ac:dyDescent="0.3">
      <c r="A70" s="15" t="s">
        <v>83</v>
      </c>
      <c r="B70" s="16">
        <v>0</v>
      </c>
      <c r="C70" s="11">
        <f t="shared" si="29"/>
        <v>0</v>
      </c>
      <c r="D70" s="16">
        <v>6</v>
      </c>
      <c r="E70" s="11">
        <f t="shared" si="30"/>
        <v>3.0769230769230771E-2</v>
      </c>
      <c r="F70" s="16">
        <v>0</v>
      </c>
      <c r="G70" s="11">
        <f t="shared" si="31"/>
        <v>0</v>
      </c>
      <c r="H70" s="16">
        <v>4</v>
      </c>
      <c r="I70" s="11">
        <f t="shared" si="32"/>
        <v>2.1739130434782608E-2</v>
      </c>
      <c r="J70" s="16">
        <v>2</v>
      </c>
      <c r="K70" s="11">
        <f t="shared" si="33"/>
        <v>9.433962264150943E-3</v>
      </c>
      <c r="L70" s="16">
        <v>7</v>
      </c>
      <c r="M70" s="11">
        <f t="shared" si="34"/>
        <v>6.0344827586206899E-2</v>
      </c>
      <c r="N70" s="16">
        <v>0</v>
      </c>
      <c r="O70" s="11">
        <f t="shared" si="35"/>
        <v>0</v>
      </c>
      <c r="P70" s="16">
        <v>4</v>
      </c>
      <c r="Q70" s="11">
        <f t="shared" si="36"/>
        <v>3.2000000000000001E-2</v>
      </c>
      <c r="R70" s="17">
        <v>3</v>
      </c>
      <c r="S70" s="11">
        <f t="shared" si="37"/>
        <v>2.1126760563380281E-2</v>
      </c>
      <c r="T70" s="29">
        <v>2</v>
      </c>
      <c r="U70" s="11">
        <f t="shared" si="38"/>
        <v>1.4184397163120567E-2</v>
      </c>
      <c r="V70" s="12">
        <f t="shared" si="39"/>
        <v>28</v>
      </c>
      <c r="W70" s="11">
        <f t="shared" si="40"/>
        <v>2.0786933927245732E-2</v>
      </c>
    </row>
    <row r="71" spans="1:23" x14ac:dyDescent="0.3">
      <c r="A71" s="25" t="s">
        <v>4</v>
      </c>
      <c r="B71" s="23">
        <f t="shared" ref="B71:U71" si="41">SUM(B50:B70)</f>
        <v>69</v>
      </c>
      <c r="C71" s="26">
        <f t="shared" si="41"/>
        <v>0.99999999999999989</v>
      </c>
      <c r="D71" s="23">
        <f t="shared" si="41"/>
        <v>195</v>
      </c>
      <c r="E71" s="26">
        <f t="shared" si="41"/>
        <v>1</v>
      </c>
      <c r="F71" s="23">
        <f t="shared" si="41"/>
        <v>91</v>
      </c>
      <c r="G71" s="26">
        <f t="shared" si="41"/>
        <v>0.99999999999999989</v>
      </c>
      <c r="H71" s="23">
        <f t="shared" si="41"/>
        <v>184</v>
      </c>
      <c r="I71" s="26">
        <f t="shared" si="41"/>
        <v>1</v>
      </c>
      <c r="J71" s="23">
        <f t="shared" si="41"/>
        <v>212</v>
      </c>
      <c r="K71" s="26">
        <f t="shared" si="41"/>
        <v>1.0000000000000002</v>
      </c>
      <c r="L71" s="23">
        <f t="shared" si="41"/>
        <v>116</v>
      </c>
      <c r="M71" s="26">
        <f t="shared" si="41"/>
        <v>0.99999999999999989</v>
      </c>
      <c r="N71" s="23">
        <f t="shared" si="41"/>
        <v>72</v>
      </c>
      <c r="O71" s="26">
        <f t="shared" si="41"/>
        <v>1</v>
      </c>
      <c r="P71" s="23">
        <f t="shared" si="41"/>
        <v>125</v>
      </c>
      <c r="Q71" s="26">
        <f t="shared" si="41"/>
        <v>1</v>
      </c>
      <c r="R71" s="23">
        <f t="shared" si="41"/>
        <v>142</v>
      </c>
      <c r="S71" s="26">
        <f t="shared" si="41"/>
        <v>1</v>
      </c>
      <c r="T71" s="23">
        <f t="shared" si="41"/>
        <v>141</v>
      </c>
      <c r="U71" s="26">
        <f t="shared" si="41"/>
        <v>1</v>
      </c>
      <c r="V71" s="23">
        <f t="shared" ref="V71:W71" si="42">SUM(V50:V70)</f>
        <v>1347</v>
      </c>
      <c r="W71" s="26">
        <f t="shared" si="42"/>
        <v>1</v>
      </c>
    </row>
    <row r="75" spans="1:23" ht="15.75" customHeight="1" x14ac:dyDescent="0.3">
      <c r="A75" s="30" t="s">
        <v>0</v>
      </c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</row>
    <row r="76" spans="1:23" ht="15" customHeight="1" x14ac:dyDescent="0.3">
      <c r="A76" s="31" t="s">
        <v>26</v>
      </c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</row>
    <row r="77" spans="1:23" ht="15" customHeight="1" x14ac:dyDescent="0.3">
      <c r="A77" s="33" t="s">
        <v>91</v>
      </c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</row>
    <row r="78" spans="1:23" x14ac:dyDescent="0.3">
      <c r="A78" s="46" t="s">
        <v>87</v>
      </c>
      <c r="B78" s="34" t="s">
        <v>2</v>
      </c>
      <c r="C78" s="35"/>
      <c r="D78" s="35"/>
      <c r="E78" s="35"/>
      <c r="F78" s="35"/>
      <c r="G78" s="35"/>
      <c r="H78" s="35"/>
      <c r="I78" s="36"/>
      <c r="J78" s="34" t="s">
        <v>3</v>
      </c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6"/>
      <c r="V78" s="37" t="s">
        <v>4</v>
      </c>
      <c r="W78" s="38"/>
    </row>
    <row r="79" spans="1:23" x14ac:dyDescent="0.3">
      <c r="A79" s="47"/>
      <c r="B79" s="34" t="s">
        <v>5</v>
      </c>
      <c r="C79" s="36"/>
      <c r="D79" s="34" t="s">
        <v>6</v>
      </c>
      <c r="E79" s="36"/>
      <c r="F79" s="34" t="s">
        <v>7</v>
      </c>
      <c r="G79" s="36"/>
      <c r="H79" s="34" t="s">
        <v>8</v>
      </c>
      <c r="I79" s="36"/>
      <c r="J79" s="34" t="s">
        <v>76</v>
      </c>
      <c r="K79" s="36"/>
      <c r="L79" s="34" t="s">
        <v>77</v>
      </c>
      <c r="M79" s="36"/>
      <c r="N79" s="34" t="s">
        <v>88</v>
      </c>
      <c r="O79" s="36"/>
      <c r="P79" s="34" t="s">
        <v>78</v>
      </c>
      <c r="Q79" s="36"/>
      <c r="R79" s="34" t="s">
        <v>79</v>
      </c>
      <c r="S79" s="36"/>
      <c r="T79" s="49" t="s">
        <v>85</v>
      </c>
      <c r="U79" s="51"/>
      <c r="V79" s="39"/>
      <c r="W79" s="40"/>
    </row>
    <row r="80" spans="1:23" x14ac:dyDescent="0.3">
      <c r="A80" s="48"/>
      <c r="B80" s="23" t="s">
        <v>9</v>
      </c>
      <c r="C80" s="24" t="s">
        <v>10</v>
      </c>
      <c r="D80" s="23" t="s">
        <v>9</v>
      </c>
      <c r="E80" s="24" t="s">
        <v>10</v>
      </c>
      <c r="F80" s="23" t="s">
        <v>9</v>
      </c>
      <c r="G80" s="24" t="s">
        <v>10</v>
      </c>
      <c r="H80" s="23" t="s">
        <v>9</v>
      </c>
      <c r="I80" s="24" t="s">
        <v>10</v>
      </c>
      <c r="J80" s="23" t="s">
        <v>9</v>
      </c>
      <c r="K80" s="24" t="s">
        <v>10</v>
      </c>
      <c r="L80" s="23" t="s">
        <v>9</v>
      </c>
      <c r="M80" s="24" t="s">
        <v>10</v>
      </c>
      <c r="N80" s="23" t="s">
        <v>9</v>
      </c>
      <c r="O80" s="24" t="s">
        <v>10</v>
      </c>
      <c r="P80" s="23" t="s">
        <v>9</v>
      </c>
      <c r="Q80" s="24" t="s">
        <v>10</v>
      </c>
      <c r="R80" s="23" t="s">
        <v>9</v>
      </c>
      <c r="S80" s="24" t="s">
        <v>10</v>
      </c>
      <c r="T80" s="23" t="s">
        <v>9</v>
      </c>
      <c r="U80" s="24" t="s">
        <v>10</v>
      </c>
      <c r="V80" s="23" t="s">
        <v>9</v>
      </c>
      <c r="W80" s="24" t="s">
        <v>10</v>
      </c>
    </row>
    <row r="81" spans="1:23" x14ac:dyDescent="0.3">
      <c r="A81" s="18" t="s">
        <v>27</v>
      </c>
      <c r="B81" s="16">
        <v>0</v>
      </c>
      <c r="C81" s="11">
        <f>B81/$B$114</f>
        <v>0</v>
      </c>
      <c r="D81" s="16">
        <v>0</v>
      </c>
      <c r="E81" s="11">
        <f>D81/$D$114</f>
        <v>0</v>
      </c>
      <c r="F81" s="16">
        <v>0</v>
      </c>
      <c r="G81" s="11">
        <f t="shared" ref="G81:G114" si="43">F81/$F$114</f>
        <v>0</v>
      </c>
      <c r="H81" s="16">
        <v>0</v>
      </c>
      <c r="I81" s="11">
        <f t="shared" ref="I81:I114" si="44">H81/$H$114</f>
        <v>0</v>
      </c>
      <c r="J81" s="16">
        <v>0</v>
      </c>
      <c r="K81" s="11">
        <f t="shared" ref="K81:K114" si="45">J81/$J$114</f>
        <v>0</v>
      </c>
      <c r="L81" s="16">
        <v>0</v>
      </c>
      <c r="M81" s="11">
        <f t="shared" ref="M81:M114" si="46">L81/$L$114</f>
        <v>0</v>
      </c>
      <c r="N81" s="16">
        <v>1</v>
      </c>
      <c r="O81" s="11">
        <f t="shared" ref="O81:O114" si="47">N81/$N$114</f>
        <v>1.3888888888888888E-2</v>
      </c>
      <c r="P81" s="16">
        <v>0</v>
      </c>
      <c r="Q81" s="11">
        <f t="shared" ref="Q81:Q114" si="48">P81/$P$114</f>
        <v>0</v>
      </c>
      <c r="R81" s="19">
        <v>0</v>
      </c>
      <c r="S81" s="11">
        <f>R81/$R$114</f>
        <v>0</v>
      </c>
      <c r="T81" s="29">
        <v>0</v>
      </c>
      <c r="U81" s="20">
        <f>T81/$T$114</f>
        <v>0</v>
      </c>
      <c r="V81" s="12">
        <f>B81+D81+F81+H81+J81+L81+N81+P81+R81+T81</f>
        <v>1</v>
      </c>
      <c r="W81" s="20">
        <f>V81/$V$114</f>
        <v>7.4239049740163323E-4</v>
      </c>
    </row>
    <row r="82" spans="1:23" x14ac:dyDescent="0.3">
      <c r="A82" s="18" t="s">
        <v>28</v>
      </c>
      <c r="B82" s="16">
        <v>0</v>
      </c>
      <c r="C82" s="11">
        <f t="shared" ref="C82:C114" si="49">B82/$B$114</f>
        <v>0</v>
      </c>
      <c r="D82" s="16">
        <v>0</v>
      </c>
      <c r="E82" s="11">
        <f t="shared" ref="E82:E114" si="50">D82/$D$114</f>
        <v>0</v>
      </c>
      <c r="F82" s="16">
        <v>0</v>
      </c>
      <c r="G82" s="11">
        <f t="shared" si="43"/>
        <v>0</v>
      </c>
      <c r="H82" s="16">
        <v>0</v>
      </c>
      <c r="I82" s="11">
        <f t="shared" si="44"/>
        <v>0</v>
      </c>
      <c r="J82" s="16">
        <v>0</v>
      </c>
      <c r="K82" s="11">
        <f t="shared" si="45"/>
        <v>0</v>
      </c>
      <c r="L82" s="16">
        <v>31</v>
      </c>
      <c r="M82" s="11">
        <f t="shared" si="46"/>
        <v>0.26724137931034481</v>
      </c>
      <c r="N82" s="16">
        <v>0</v>
      </c>
      <c r="O82" s="11">
        <f t="shared" si="47"/>
        <v>0</v>
      </c>
      <c r="P82" s="16">
        <v>0</v>
      </c>
      <c r="Q82" s="11">
        <f t="shared" si="48"/>
        <v>0</v>
      </c>
      <c r="R82" s="19">
        <v>0</v>
      </c>
      <c r="S82" s="11">
        <f t="shared" ref="S82:S114" si="51">R82/$R$114</f>
        <v>0</v>
      </c>
      <c r="T82" s="29">
        <v>0</v>
      </c>
      <c r="U82" s="20">
        <f t="shared" ref="U82:U113" si="52">T82/$T$114</f>
        <v>0</v>
      </c>
      <c r="V82" s="12">
        <f t="shared" ref="V82:V113" si="53">B82+D82+F82+H82+J82+L82+N82+P82+R82+T82</f>
        <v>31</v>
      </c>
      <c r="W82" s="20">
        <f t="shared" ref="W82:W113" si="54">V82/$V$114</f>
        <v>2.301410541945063E-2</v>
      </c>
    </row>
    <row r="83" spans="1:23" x14ac:dyDescent="0.3">
      <c r="A83" s="18" t="s">
        <v>29</v>
      </c>
      <c r="B83" s="16">
        <v>0</v>
      </c>
      <c r="C83" s="11">
        <f t="shared" si="49"/>
        <v>0</v>
      </c>
      <c r="D83" s="16">
        <v>0</v>
      </c>
      <c r="E83" s="11">
        <f t="shared" si="50"/>
        <v>0</v>
      </c>
      <c r="F83" s="16">
        <v>0</v>
      </c>
      <c r="G83" s="11">
        <f t="shared" si="43"/>
        <v>0</v>
      </c>
      <c r="H83" s="16">
        <v>0</v>
      </c>
      <c r="I83" s="11">
        <f t="shared" si="44"/>
        <v>0</v>
      </c>
      <c r="J83" s="16">
        <v>0</v>
      </c>
      <c r="K83" s="11">
        <f t="shared" si="45"/>
        <v>0</v>
      </c>
      <c r="L83" s="16">
        <v>77</v>
      </c>
      <c r="M83" s="11">
        <f t="shared" si="46"/>
        <v>0.66379310344827591</v>
      </c>
      <c r="N83" s="16">
        <v>0</v>
      </c>
      <c r="O83" s="11">
        <f t="shared" si="47"/>
        <v>0</v>
      </c>
      <c r="P83" s="16">
        <v>0</v>
      </c>
      <c r="Q83" s="11">
        <f t="shared" si="48"/>
        <v>0</v>
      </c>
      <c r="R83" s="19">
        <v>0</v>
      </c>
      <c r="S83" s="11">
        <f t="shared" si="51"/>
        <v>0</v>
      </c>
      <c r="T83" s="29">
        <v>0</v>
      </c>
      <c r="U83" s="20">
        <f t="shared" si="52"/>
        <v>0</v>
      </c>
      <c r="V83" s="12">
        <f t="shared" si="53"/>
        <v>77</v>
      </c>
      <c r="W83" s="20">
        <f t="shared" si="54"/>
        <v>5.7164068299925763E-2</v>
      </c>
    </row>
    <row r="84" spans="1:23" x14ac:dyDescent="0.3">
      <c r="A84" s="18" t="s">
        <v>61</v>
      </c>
      <c r="B84" s="16">
        <v>67</v>
      </c>
      <c r="C84" s="11">
        <f t="shared" si="49"/>
        <v>0.97101449275362317</v>
      </c>
      <c r="D84" s="16">
        <v>152</v>
      </c>
      <c r="E84" s="11">
        <f t="shared" si="50"/>
        <v>0.77948717948717949</v>
      </c>
      <c r="F84" s="16">
        <v>84</v>
      </c>
      <c r="G84" s="11">
        <f t="shared" si="43"/>
        <v>0.92307692307692313</v>
      </c>
      <c r="H84" s="16">
        <v>168</v>
      </c>
      <c r="I84" s="11">
        <f t="shared" si="44"/>
        <v>0.91304347826086951</v>
      </c>
      <c r="J84" s="16">
        <v>0</v>
      </c>
      <c r="K84" s="11">
        <f t="shared" si="45"/>
        <v>0</v>
      </c>
      <c r="L84" s="16">
        <v>0</v>
      </c>
      <c r="M84" s="11">
        <f t="shared" si="46"/>
        <v>0</v>
      </c>
      <c r="N84" s="16">
        <v>0</v>
      </c>
      <c r="O84" s="11">
        <f t="shared" si="47"/>
        <v>0</v>
      </c>
      <c r="P84" s="16">
        <v>0</v>
      </c>
      <c r="Q84" s="11">
        <f t="shared" si="48"/>
        <v>0</v>
      </c>
      <c r="R84" s="19">
        <v>138</v>
      </c>
      <c r="S84" s="11">
        <f t="shared" si="51"/>
        <v>0.971830985915493</v>
      </c>
      <c r="T84" s="29">
        <v>0</v>
      </c>
      <c r="U84" s="20">
        <f t="shared" si="52"/>
        <v>0</v>
      </c>
      <c r="V84" s="12">
        <f t="shared" si="53"/>
        <v>609</v>
      </c>
      <c r="W84" s="20">
        <f t="shared" si="54"/>
        <v>0.45211581291759467</v>
      </c>
    </row>
    <row r="85" spans="1:23" x14ac:dyDescent="0.3">
      <c r="A85" s="18" t="s">
        <v>30</v>
      </c>
      <c r="B85" s="16">
        <v>0</v>
      </c>
      <c r="C85" s="11">
        <f t="shared" si="49"/>
        <v>0</v>
      </c>
      <c r="D85" s="16">
        <v>0</v>
      </c>
      <c r="E85" s="11">
        <f t="shared" si="50"/>
        <v>0</v>
      </c>
      <c r="F85" s="16">
        <v>0</v>
      </c>
      <c r="G85" s="11">
        <f t="shared" si="43"/>
        <v>0</v>
      </c>
      <c r="H85" s="16">
        <v>0</v>
      </c>
      <c r="I85" s="11">
        <f t="shared" si="44"/>
        <v>0</v>
      </c>
      <c r="J85" s="16">
        <v>0</v>
      </c>
      <c r="K85" s="11">
        <f t="shared" si="45"/>
        <v>0</v>
      </c>
      <c r="L85" s="16">
        <v>0</v>
      </c>
      <c r="M85" s="11">
        <f t="shared" si="46"/>
        <v>0</v>
      </c>
      <c r="N85" s="16">
        <v>0</v>
      </c>
      <c r="O85" s="11">
        <f t="shared" si="47"/>
        <v>0</v>
      </c>
      <c r="P85" s="16">
        <v>0</v>
      </c>
      <c r="Q85" s="11">
        <f t="shared" si="48"/>
        <v>0</v>
      </c>
      <c r="R85" s="19">
        <v>0</v>
      </c>
      <c r="S85" s="11">
        <f t="shared" si="51"/>
        <v>0</v>
      </c>
      <c r="T85" s="29">
        <v>0</v>
      </c>
      <c r="U85" s="20">
        <f t="shared" si="52"/>
        <v>0</v>
      </c>
      <c r="V85" s="12">
        <f t="shared" si="53"/>
        <v>0</v>
      </c>
      <c r="W85" s="20">
        <f t="shared" si="54"/>
        <v>0</v>
      </c>
    </row>
    <row r="86" spans="1:23" x14ac:dyDescent="0.3">
      <c r="A86" s="18" t="s">
        <v>31</v>
      </c>
      <c r="B86" s="16">
        <v>0</v>
      </c>
      <c r="C86" s="11">
        <f t="shared" si="49"/>
        <v>0</v>
      </c>
      <c r="D86" s="16">
        <v>0</v>
      </c>
      <c r="E86" s="11">
        <f t="shared" si="50"/>
        <v>0</v>
      </c>
      <c r="F86" s="16">
        <v>0</v>
      </c>
      <c r="G86" s="11">
        <f t="shared" si="43"/>
        <v>0</v>
      </c>
      <c r="H86" s="16">
        <v>0</v>
      </c>
      <c r="I86" s="11">
        <f t="shared" si="44"/>
        <v>0</v>
      </c>
      <c r="J86" s="16">
        <v>0</v>
      </c>
      <c r="K86" s="11">
        <f t="shared" si="45"/>
        <v>0</v>
      </c>
      <c r="L86" s="16">
        <v>0</v>
      </c>
      <c r="M86" s="11">
        <f t="shared" si="46"/>
        <v>0</v>
      </c>
      <c r="N86" s="16">
        <v>0</v>
      </c>
      <c r="O86" s="11">
        <f t="shared" si="47"/>
        <v>0</v>
      </c>
      <c r="P86" s="16">
        <v>0</v>
      </c>
      <c r="Q86" s="11">
        <f t="shared" si="48"/>
        <v>0</v>
      </c>
      <c r="R86" s="19">
        <v>0</v>
      </c>
      <c r="S86" s="11">
        <f t="shared" si="51"/>
        <v>0</v>
      </c>
      <c r="T86" s="29">
        <v>139</v>
      </c>
      <c r="U86" s="20">
        <f t="shared" si="52"/>
        <v>0.98581560283687941</v>
      </c>
      <c r="V86" s="12">
        <f t="shared" si="53"/>
        <v>139</v>
      </c>
      <c r="W86" s="20">
        <f t="shared" si="54"/>
        <v>0.10319227913882702</v>
      </c>
    </row>
    <row r="87" spans="1:23" x14ac:dyDescent="0.3">
      <c r="A87" s="18" t="s">
        <v>33</v>
      </c>
      <c r="B87" s="16">
        <v>0</v>
      </c>
      <c r="C87" s="11">
        <f t="shared" si="49"/>
        <v>0</v>
      </c>
      <c r="D87" s="16">
        <v>0</v>
      </c>
      <c r="E87" s="11">
        <f t="shared" si="50"/>
        <v>0</v>
      </c>
      <c r="F87" s="16">
        <v>0</v>
      </c>
      <c r="G87" s="11">
        <f t="shared" si="43"/>
        <v>0</v>
      </c>
      <c r="H87" s="16">
        <v>0</v>
      </c>
      <c r="I87" s="11">
        <f t="shared" si="44"/>
        <v>0</v>
      </c>
      <c r="J87" s="16">
        <v>0</v>
      </c>
      <c r="K87" s="11">
        <f t="shared" si="45"/>
        <v>0</v>
      </c>
      <c r="L87" s="16">
        <v>0</v>
      </c>
      <c r="M87" s="11">
        <f t="shared" si="46"/>
        <v>0</v>
      </c>
      <c r="N87" s="16">
        <v>0</v>
      </c>
      <c r="O87" s="11">
        <f t="shared" si="47"/>
        <v>0</v>
      </c>
      <c r="P87" s="16">
        <v>11</v>
      </c>
      <c r="Q87" s="11">
        <f t="shared" si="48"/>
        <v>8.7999999999999995E-2</v>
      </c>
      <c r="R87" s="19">
        <v>0</v>
      </c>
      <c r="S87" s="11">
        <f t="shared" si="51"/>
        <v>0</v>
      </c>
      <c r="T87" s="29">
        <v>0</v>
      </c>
      <c r="U87" s="20">
        <f t="shared" si="52"/>
        <v>0</v>
      </c>
      <c r="V87" s="12">
        <f t="shared" si="53"/>
        <v>11</v>
      </c>
      <c r="W87" s="20">
        <f t="shared" si="54"/>
        <v>8.1662954714179659E-3</v>
      </c>
    </row>
    <row r="88" spans="1:23" x14ac:dyDescent="0.3">
      <c r="A88" s="18" t="s">
        <v>32</v>
      </c>
      <c r="B88" s="16">
        <v>0</v>
      </c>
      <c r="C88" s="11">
        <f t="shared" si="49"/>
        <v>0</v>
      </c>
      <c r="D88" s="16">
        <v>0</v>
      </c>
      <c r="E88" s="11">
        <f t="shared" si="50"/>
        <v>0</v>
      </c>
      <c r="F88" s="16">
        <v>0</v>
      </c>
      <c r="G88" s="11">
        <f t="shared" si="43"/>
        <v>0</v>
      </c>
      <c r="H88" s="16">
        <v>0</v>
      </c>
      <c r="I88" s="11">
        <f t="shared" si="44"/>
        <v>0</v>
      </c>
      <c r="J88" s="16">
        <v>0</v>
      </c>
      <c r="K88" s="11">
        <f t="shared" si="45"/>
        <v>0</v>
      </c>
      <c r="L88" s="16">
        <v>2</v>
      </c>
      <c r="M88" s="11">
        <f t="shared" si="46"/>
        <v>1.7241379310344827E-2</v>
      </c>
      <c r="N88" s="16">
        <v>0</v>
      </c>
      <c r="O88" s="11">
        <f t="shared" si="47"/>
        <v>0</v>
      </c>
      <c r="P88" s="16">
        <v>0</v>
      </c>
      <c r="Q88" s="11">
        <f t="shared" si="48"/>
        <v>0</v>
      </c>
      <c r="R88" s="19">
        <v>0</v>
      </c>
      <c r="S88" s="11">
        <f t="shared" si="51"/>
        <v>0</v>
      </c>
      <c r="T88" s="29">
        <v>0</v>
      </c>
      <c r="U88" s="20">
        <f t="shared" si="52"/>
        <v>0</v>
      </c>
      <c r="V88" s="12">
        <f t="shared" si="53"/>
        <v>2</v>
      </c>
      <c r="W88" s="20">
        <f t="shared" si="54"/>
        <v>1.4847809948032665E-3</v>
      </c>
    </row>
    <row r="89" spans="1:23" x14ac:dyDescent="0.3">
      <c r="A89" s="18" t="s">
        <v>34</v>
      </c>
      <c r="B89" s="16">
        <v>0</v>
      </c>
      <c r="C89" s="11">
        <f t="shared" si="49"/>
        <v>0</v>
      </c>
      <c r="D89" s="16">
        <v>0</v>
      </c>
      <c r="E89" s="11">
        <f t="shared" si="50"/>
        <v>0</v>
      </c>
      <c r="F89" s="16">
        <v>0</v>
      </c>
      <c r="G89" s="11">
        <f t="shared" si="43"/>
        <v>0</v>
      </c>
      <c r="H89" s="16">
        <v>0</v>
      </c>
      <c r="I89" s="11">
        <f t="shared" si="44"/>
        <v>0</v>
      </c>
      <c r="J89" s="16">
        <v>3</v>
      </c>
      <c r="K89" s="11">
        <f t="shared" si="45"/>
        <v>1.4150943396226415E-2</v>
      </c>
      <c r="L89" s="16">
        <v>0</v>
      </c>
      <c r="M89" s="11">
        <f t="shared" si="46"/>
        <v>0</v>
      </c>
      <c r="N89" s="16">
        <v>0</v>
      </c>
      <c r="O89" s="11">
        <f t="shared" si="47"/>
        <v>0</v>
      </c>
      <c r="P89" s="16">
        <v>0</v>
      </c>
      <c r="Q89" s="11">
        <f t="shared" si="48"/>
        <v>0</v>
      </c>
      <c r="R89" s="19">
        <v>0</v>
      </c>
      <c r="S89" s="11">
        <f t="shared" si="51"/>
        <v>0</v>
      </c>
      <c r="T89" s="29">
        <v>0</v>
      </c>
      <c r="U89" s="20">
        <f t="shared" si="52"/>
        <v>0</v>
      </c>
      <c r="V89" s="12">
        <f t="shared" si="53"/>
        <v>3</v>
      </c>
      <c r="W89" s="20">
        <f t="shared" si="54"/>
        <v>2.2271714922048997E-3</v>
      </c>
    </row>
    <row r="90" spans="1:23" x14ac:dyDescent="0.3">
      <c r="A90" s="18" t="s">
        <v>56</v>
      </c>
      <c r="B90" s="16">
        <v>0</v>
      </c>
      <c r="C90" s="11">
        <f t="shared" si="49"/>
        <v>0</v>
      </c>
      <c r="D90" s="16">
        <v>0</v>
      </c>
      <c r="E90" s="11">
        <f t="shared" si="50"/>
        <v>0</v>
      </c>
      <c r="F90" s="16">
        <v>0</v>
      </c>
      <c r="G90" s="11">
        <f t="shared" si="43"/>
        <v>0</v>
      </c>
      <c r="H90" s="16">
        <v>0</v>
      </c>
      <c r="I90" s="11">
        <f t="shared" si="44"/>
        <v>0</v>
      </c>
      <c r="J90" s="16">
        <v>0</v>
      </c>
      <c r="K90" s="11">
        <f t="shared" si="45"/>
        <v>0</v>
      </c>
      <c r="L90" s="16">
        <v>0</v>
      </c>
      <c r="M90" s="11">
        <f t="shared" si="46"/>
        <v>0</v>
      </c>
      <c r="N90" s="16">
        <v>0</v>
      </c>
      <c r="O90" s="11">
        <f t="shared" si="47"/>
        <v>0</v>
      </c>
      <c r="P90" s="16">
        <v>4</v>
      </c>
      <c r="Q90" s="11">
        <f t="shared" si="48"/>
        <v>3.2000000000000001E-2</v>
      </c>
      <c r="R90" s="19">
        <v>0</v>
      </c>
      <c r="S90" s="11">
        <f t="shared" si="51"/>
        <v>0</v>
      </c>
      <c r="T90" s="29">
        <v>0</v>
      </c>
      <c r="U90" s="20">
        <f t="shared" si="52"/>
        <v>0</v>
      </c>
      <c r="V90" s="12">
        <f t="shared" si="53"/>
        <v>4</v>
      </c>
      <c r="W90" s="20">
        <f t="shared" si="54"/>
        <v>2.9695619896065329E-3</v>
      </c>
    </row>
    <row r="91" spans="1:23" x14ac:dyDescent="0.3">
      <c r="A91" s="18" t="s">
        <v>39</v>
      </c>
      <c r="B91" s="16">
        <v>0</v>
      </c>
      <c r="C91" s="11">
        <f t="shared" si="49"/>
        <v>0</v>
      </c>
      <c r="D91" s="16">
        <v>0</v>
      </c>
      <c r="E91" s="11">
        <f t="shared" si="50"/>
        <v>0</v>
      </c>
      <c r="F91" s="16">
        <v>0</v>
      </c>
      <c r="G91" s="11">
        <f t="shared" si="43"/>
        <v>0</v>
      </c>
      <c r="H91" s="16">
        <v>0</v>
      </c>
      <c r="I91" s="11">
        <f t="shared" si="44"/>
        <v>0</v>
      </c>
      <c r="J91" s="16">
        <v>0</v>
      </c>
      <c r="K91" s="11">
        <f t="shared" si="45"/>
        <v>0</v>
      </c>
      <c r="L91" s="16">
        <v>0</v>
      </c>
      <c r="M91" s="11">
        <f t="shared" si="46"/>
        <v>0</v>
      </c>
      <c r="N91" s="16">
        <v>0</v>
      </c>
      <c r="O91" s="11">
        <f t="shared" si="47"/>
        <v>0</v>
      </c>
      <c r="P91" s="16">
        <v>0</v>
      </c>
      <c r="Q91" s="11">
        <f t="shared" si="48"/>
        <v>0</v>
      </c>
      <c r="R91" s="19">
        <v>0</v>
      </c>
      <c r="S91" s="11">
        <f t="shared" si="51"/>
        <v>0</v>
      </c>
      <c r="T91" s="29">
        <v>1</v>
      </c>
      <c r="U91" s="20">
        <f t="shared" si="52"/>
        <v>7.0921985815602835E-3</v>
      </c>
      <c r="V91" s="12">
        <f t="shared" si="53"/>
        <v>1</v>
      </c>
      <c r="W91" s="20">
        <f t="shared" si="54"/>
        <v>7.4239049740163323E-4</v>
      </c>
    </row>
    <row r="92" spans="1:23" x14ac:dyDescent="0.3">
      <c r="A92" s="18" t="s">
        <v>35</v>
      </c>
      <c r="B92" s="16">
        <v>0</v>
      </c>
      <c r="C92" s="11">
        <f t="shared" si="49"/>
        <v>0</v>
      </c>
      <c r="D92" s="16">
        <v>0</v>
      </c>
      <c r="E92" s="11">
        <f t="shared" si="50"/>
        <v>0</v>
      </c>
      <c r="F92" s="16">
        <v>0</v>
      </c>
      <c r="G92" s="11">
        <f t="shared" si="43"/>
        <v>0</v>
      </c>
      <c r="H92" s="16">
        <v>0</v>
      </c>
      <c r="I92" s="11">
        <f t="shared" si="44"/>
        <v>0</v>
      </c>
      <c r="J92" s="16">
        <v>0</v>
      </c>
      <c r="K92" s="11">
        <f t="shared" si="45"/>
        <v>0</v>
      </c>
      <c r="L92" s="16">
        <v>2</v>
      </c>
      <c r="M92" s="11">
        <f t="shared" si="46"/>
        <v>1.7241379310344827E-2</v>
      </c>
      <c r="N92" s="16">
        <v>0</v>
      </c>
      <c r="O92" s="11">
        <f t="shared" si="47"/>
        <v>0</v>
      </c>
      <c r="P92" s="16">
        <v>0</v>
      </c>
      <c r="Q92" s="11">
        <f t="shared" si="48"/>
        <v>0</v>
      </c>
      <c r="R92" s="19">
        <v>0</v>
      </c>
      <c r="S92" s="11">
        <f t="shared" si="51"/>
        <v>0</v>
      </c>
      <c r="T92" s="29">
        <v>0</v>
      </c>
      <c r="U92" s="20">
        <f t="shared" si="52"/>
        <v>0</v>
      </c>
      <c r="V92" s="12">
        <f t="shared" si="53"/>
        <v>2</v>
      </c>
      <c r="W92" s="20">
        <f t="shared" si="54"/>
        <v>1.4847809948032665E-3</v>
      </c>
    </row>
    <row r="93" spans="1:23" x14ac:dyDescent="0.3">
      <c r="A93" s="18" t="s">
        <v>36</v>
      </c>
      <c r="B93" s="16">
        <v>0</v>
      </c>
      <c r="C93" s="11">
        <f t="shared" si="49"/>
        <v>0</v>
      </c>
      <c r="D93" s="16">
        <v>0</v>
      </c>
      <c r="E93" s="11">
        <f t="shared" si="50"/>
        <v>0</v>
      </c>
      <c r="F93" s="16">
        <v>0</v>
      </c>
      <c r="G93" s="11">
        <f t="shared" si="43"/>
        <v>0</v>
      </c>
      <c r="H93" s="16">
        <v>0</v>
      </c>
      <c r="I93" s="11">
        <f t="shared" si="44"/>
        <v>0</v>
      </c>
      <c r="J93" s="16">
        <v>0</v>
      </c>
      <c r="K93" s="11">
        <f t="shared" si="45"/>
        <v>0</v>
      </c>
      <c r="L93" s="16">
        <v>0</v>
      </c>
      <c r="M93" s="11">
        <f t="shared" si="46"/>
        <v>0</v>
      </c>
      <c r="N93" s="16">
        <v>0</v>
      </c>
      <c r="O93" s="11">
        <f t="shared" si="47"/>
        <v>0</v>
      </c>
      <c r="P93" s="16">
        <v>13</v>
      </c>
      <c r="Q93" s="11">
        <f t="shared" si="48"/>
        <v>0.104</v>
      </c>
      <c r="R93" s="19">
        <v>0</v>
      </c>
      <c r="S93" s="11">
        <f t="shared" si="51"/>
        <v>0</v>
      </c>
      <c r="T93" s="29">
        <v>0</v>
      </c>
      <c r="U93" s="20">
        <f t="shared" si="52"/>
        <v>0</v>
      </c>
      <c r="V93" s="12">
        <f t="shared" si="53"/>
        <v>13</v>
      </c>
      <c r="W93" s="20">
        <f t="shared" si="54"/>
        <v>9.6510764662212315E-3</v>
      </c>
    </row>
    <row r="94" spans="1:23" x14ac:dyDescent="0.3">
      <c r="A94" s="18" t="s">
        <v>37</v>
      </c>
      <c r="B94" s="16">
        <v>0</v>
      </c>
      <c r="C94" s="11">
        <f t="shared" si="49"/>
        <v>0</v>
      </c>
      <c r="D94" s="16">
        <v>0</v>
      </c>
      <c r="E94" s="11">
        <f t="shared" si="50"/>
        <v>0</v>
      </c>
      <c r="F94" s="16">
        <v>0</v>
      </c>
      <c r="G94" s="11">
        <f t="shared" si="43"/>
        <v>0</v>
      </c>
      <c r="H94" s="16">
        <v>0</v>
      </c>
      <c r="I94" s="11">
        <f t="shared" si="44"/>
        <v>0</v>
      </c>
      <c r="J94" s="16">
        <v>0</v>
      </c>
      <c r="K94" s="11">
        <f t="shared" si="45"/>
        <v>0</v>
      </c>
      <c r="L94" s="16">
        <v>0</v>
      </c>
      <c r="M94" s="11">
        <f t="shared" si="46"/>
        <v>0</v>
      </c>
      <c r="N94" s="16">
        <v>0</v>
      </c>
      <c r="O94" s="11">
        <f t="shared" si="47"/>
        <v>0</v>
      </c>
      <c r="P94" s="16">
        <v>86</v>
      </c>
      <c r="Q94" s="11">
        <f t="shared" si="48"/>
        <v>0.68799999999999994</v>
      </c>
      <c r="R94" s="19">
        <v>0</v>
      </c>
      <c r="S94" s="11">
        <f t="shared" si="51"/>
        <v>0</v>
      </c>
      <c r="T94" s="29">
        <v>0</v>
      </c>
      <c r="U94" s="20">
        <f t="shared" si="52"/>
        <v>0</v>
      </c>
      <c r="V94" s="12">
        <f t="shared" si="53"/>
        <v>86</v>
      </c>
      <c r="W94" s="20">
        <f t="shared" si="54"/>
        <v>6.3845582776540455E-2</v>
      </c>
    </row>
    <row r="95" spans="1:23" x14ac:dyDescent="0.3">
      <c r="A95" s="18" t="s">
        <v>38</v>
      </c>
      <c r="B95" s="16">
        <v>0</v>
      </c>
      <c r="C95" s="11">
        <f t="shared" si="49"/>
        <v>0</v>
      </c>
      <c r="D95" s="16">
        <v>1</v>
      </c>
      <c r="E95" s="11">
        <f t="shared" si="50"/>
        <v>5.1282051282051282E-3</v>
      </c>
      <c r="F95" s="16">
        <v>0</v>
      </c>
      <c r="G95" s="11">
        <f t="shared" si="43"/>
        <v>0</v>
      </c>
      <c r="H95" s="16">
        <v>1</v>
      </c>
      <c r="I95" s="11">
        <f t="shared" si="44"/>
        <v>5.434782608695652E-3</v>
      </c>
      <c r="J95" s="16">
        <v>11</v>
      </c>
      <c r="K95" s="11">
        <f t="shared" si="45"/>
        <v>5.1886792452830191E-2</v>
      </c>
      <c r="L95" s="16">
        <v>0</v>
      </c>
      <c r="M95" s="11">
        <f t="shared" si="46"/>
        <v>0</v>
      </c>
      <c r="N95" s="16">
        <v>0</v>
      </c>
      <c r="O95" s="11">
        <f t="shared" si="47"/>
        <v>0</v>
      </c>
      <c r="P95" s="16">
        <v>0</v>
      </c>
      <c r="Q95" s="11">
        <f t="shared" si="48"/>
        <v>0</v>
      </c>
      <c r="R95" s="19">
        <v>0</v>
      </c>
      <c r="S95" s="11">
        <f t="shared" si="51"/>
        <v>0</v>
      </c>
      <c r="T95" s="29">
        <v>0</v>
      </c>
      <c r="U95" s="20">
        <f t="shared" si="52"/>
        <v>0</v>
      </c>
      <c r="V95" s="12">
        <f t="shared" si="53"/>
        <v>13</v>
      </c>
      <c r="W95" s="20">
        <f t="shared" si="54"/>
        <v>9.6510764662212315E-3</v>
      </c>
    </row>
    <row r="96" spans="1:23" x14ac:dyDescent="0.3">
      <c r="A96" s="18" t="s">
        <v>40</v>
      </c>
      <c r="B96" s="16">
        <v>0</v>
      </c>
      <c r="C96" s="11">
        <f t="shared" si="49"/>
        <v>0</v>
      </c>
      <c r="D96" s="16">
        <v>8</v>
      </c>
      <c r="E96" s="11">
        <f t="shared" si="50"/>
        <v>4.1025641025641026E-2</v>
      </c>
      <c r="F96" s="16">
        <v>0</v>
      </c>
      <c r="G96" s="11">
        <f t="shared" si="43"/>
        <v>0</v>
      </c>
      <c r="H96" s="16">
        <v>0</v>
      </c>
      <c r="I96" s="11">
        <f t="shared" si="44"/>
        <v>0</v>
      </c>
      <c r="J96" s="16">
        <v>0</v>
      </c>
      <c r="K96" s="11">
        <f t="shared" si="45"/>
        <v>0</v>
      </c>
      <c r="L96" s="16">
        <v>0</v>
      </c>
      <c r="M96" s="11">
        <f t="shared" si="46"/>
        <v>0</v>
      </c>
      <c r="N96" s="16">
        <v>0</v>
      </c>
      <c r="O96" s="11">
        <f t="shared" si="47"/>
        <v>0</v>
      </c>
      <c r="P96" s="16">
        <v>0</v>
      </c>
      <c r="Q96" s="11">
        <f t="shared" si="48"/>
        <v>0</v>
      </c>
      <c r="R96" s="19">
        <v>0</v>
      </c>
      <c r="S96" s="11">
        <f t="shared" si="51"/>
        <v>0</v>
      </c>
      <c r="T96" s="29">
        <v>0</v>
      </c>
      <c r="U96" s="20">
        <f t="shared" si="52"/>
        <v>0</v>
      </c>
      <c r="V96" s="12">
        <f t="shared" si="53"/>
        <v>8</v>
      </c>
      <c r="W96" s="20">
        <f t="shared" si="54"/>
        <v>5.9391239792130658E-3</v>
      </c>
    </row>
    <row r="97" spans="1:23" x14ac:dyDescent="0.3">
      <c r="A97" s="18" t="s">
        <v>54</v>
      </c>
      <c r="B97" s="16">
        <v>1</v>
      </c>
      <c r="C97" s="11">
        <f t="shared" si="49"/>
        <v>1.4492753623188406E-2</v>
      </c>
      <c r="D97" s="16">
        <v>1</v>
      </c>
      <c r="E97" s="11">
        <f t="shared" si="50"/>
        <v>5.1282051282051282E-3</v>
      </c>
      <c r="F97" s="16">
        <v>2</v>
      </c>
      <c r="G97" s="11">
        <f t="shared" si="43"/>
        <v>2.197802197802198E-2</v>
      </c>
      <c r="H97" s="16">
        <v>1</v>
      </c>
      <c r="I97" s="11">
        <f t="shared" si="44"/>
        <v>5.434782608695652E-3</v>
      </c>
      <c r="J97" s="16">
        <v>6</v>
      </c>
      <c r="K97" s="11">
        <f t="shared" si="45"/>
        <v>2.8301886792452831E-2</v>
      </c>
      <c r="L97" s="16">
        <v>0</v>
      </c>
      <c r="M97" s="11">
        <f t="shared" si="46"/>
        <v>0</v>
      </c>
      <c r="N97" s="16">
        <v>0</v>
      </c>
      <c r="O97" s="11">
        <f t="shared" si="47"/>
        <v>0</v>
      </c>
      <c r="P97" s="16">
        <v>0</v>
      </c>
      <c r="Q97" s="11">
        <f t="shared" si="48"/>
        <v>0</v>
      </c>
      <c r="R97" s="19">
        <v>0</v>
      </c>
      <c r="S97" s="11">
        <f t="shared" si="51"/>
        <v>0</v>
      </c>
      <c r="T97" s="29">
        <v>0</v>
      </c>
      <c r="U97" s="20">
        <f t="shared" si="52"/>
        <v>0</v>
      </c>
      <c r="V97" s="12">
        <f t="shared" si="53"/>
        <v>11</v>
      </c>
      <c r="W97" s="20">
        <f t="shared" si="54"/>
        <v>8.1662954714179659E-3</v>
      </c>
    </row>
    <row r="98" spans="1:23" x14ac:dyDescent="0.3">
      <c r="A98" s="18" t="s">
        <v>41</v>
      </c>
      <c r="B98" s="16">
        <v>0</v>
      </c>
      <c r="C98" s="11">
        <f t="shared" si="49"/>
        <v>0</v>
      </c>
      <c r="D98" s="16">
        <v>0</v>
      </c>
      <c r="E98" s="11">
        <f t="shared" si="50"/>
        <v>0</v>
      </c>
      <c r="F98" s="16">
        <v>0</v>
      </c>
      <c r="G98" s="11">
        <f t="shared" si="43"/>
        <v>0</v>
      </c>
      <c r="H98" s="16">
        <v>2</v>
      </c>
      <c r="I98" s="11">
        <f t="shared" si="44"/>
        <v>1.0869565217391304E-2</v>
      </c>
      <c r="J98" s="16">
        <v>25</v>
      </c>
      <c r="K98" s="11">
        <f t="shared" si="45"/>
        <v>0.11792452830188679</v>
      </c>
      <c r="L98" s="16">
        <v>0</v>
      </c>
      <c r="M98" s="11">
        <f t="shared" si="46"/>
        <v>0</v>
      </c>
      <c r="N98" s="16">
        <v>0</v>
      </c>
      <c r="O98" s="11">
        <f t="shared" si="47"/>
        <v>0</v>
      </c>
      <c r="P98" s="16">
        <v>0</v>
      </c>
      <c r="Q98" s="11">
        <f t="shared" si="48"/>
        <v>0</v>
      </c>
      <c r="R98" s="19">
        <v>0</v>
      </c>
      <c r="S98" s="11">
        <f t="shared" si="51"/>
        <v>0</v>
      </c>
      <c r="T98" s="29">
        <v>0</v>
      </c>
      <c r="U98" s="20">
        <f t="shared" si="52"/>
        <v>0</v>
      </c>
      <c r="V98" s="12">
        <f t="shared" si="53"/>
        <v>27</v>
      </c>
      <c r="W98" s="20">
        <f t="shared" si="54"/>
        <v>2.0044543429844099E-2</v>
      </c>
    </row>
    <row r="99" spans="1:23" x14ac:dyDescent="0.3">
      <c r="A99" s="18" t="s">
        <v>55</v>
      </c>
      <c r="B99" s="16">
        <v>0</v>
      </c>
      <c r="C99" s="11">
        <f t="shared" si="49"/>
        <v>0</v>
      </c>
      <c r="D99" s="16">
        <v>7</v>
      </c>
      <c r="E99" s="11">
        <f t="shared" si="50"/>
        <v>3.5897435897435895E-2</v>
      </c>
      <c r="F99" s="16">
        <v>0</v>
      </c>
      <c r="G99" s="11">
        <f t="shared" si="43"/>
        <v>0</v>
      </c>
      <c r="H99" s="16">
        <v>1</v>
      </c>
      <c r="I99" s="11">
        <f t="shared" si="44"/>
        <v>5.434782608695652E-3</v>
      </c>
      <c r="J99" s="16">
        <v>0</v>
      </c>
      <c r="K99" s="11">
        <f t="shared" si="45"/>
        <v>0</v>
      </c>
      <c r="L99" s="16">
        <v>0</v>
      </c>
      <c r="M99" s="11">
        <f t="shared" si="46"/>
        <v>0</v>
      </c>
      <c r="N99" s="16">
        <v>0</v>
      </c>
      <c r="O99" s="11">
        <f t="shared" si="47"/>
        <v>0</v>
      </c>
      <c r="P99" s="16">
        <v>0</v>
      </c>
      <c r="Q99" s="11">
        <f t="shared" si="48"/>
        <v>0</v>
      </c>
      <c r="R99" s="19">
        <v>0</v>
      </c>
      <c r="S99" s="11">
        <f t="shared" si="51"/>
        <v>0</v>
      </c>
      <c r="T99" s="29">
        <v>0</v>
      </c>
      <c r="U99" s="20">
        <f t="shared" si="52"/>
        <v>0</v>
      </c>
      <c r="V99" s="12">
        <f t="shared" si="53"/>
        <v>8</v>
      </c>
      <c r="W99" s="20">
        <f t="shared" si="54"/>
        <v>5.9391239792130658E-3</v>
      </c>
    </row>
    <row r="100" spans="1:23" x14ac:dyDescent="0.3">
      <c r="A100" s="18" t="s">
        <v>89</v>
      </c>
      <c r="B100" s="16">
        <v>0</v>
      </c>
      <c r="C100" s="11">
        <f t="shared" si="49"/>
        <v>0</v>
      </c>
      <c r="D100" s="16">
        <v>0</v>
      </c>
      <c r="E100" s="11">
        <f t="shared" si="50"/>
        <v>0</v>
      </c>
      <c r="F100" s="16">
        <v>0</v>
      </c>
      <c r="G100" s="11">
        <f t="shared" si="43"/>
        <v>0</v>
      </c>
      <c r="H100" s="16">
        <v>0</v>
      </c>
      <c r="I100" s="11">
        <f t="shared" si="44"/>
        <v>0</v>
      </c>
      <c r="J100" s="16">
        <v>0</v>
      </c>
      <c r="K100" s="11">
        <f t="shared" si="45"/>
        <v>0</v>
      </c>
      <c r="L100" s="16">
        <v>0</v>
      </c>
      <c r="M100" s="11">
        <f t="shared" si="46"/>
        <v>0</v>
      </c>
      <c r="N100" s="16">
        <v>0</v>
      </c>
      <c r="O100" s="11">
        <f t="shared" si="47"/>
        <v>0</v>
      </c>
      <c r="P100" s="16">
        <v>0</v>
      </c>
      <c r="Q100" s="11">
        <f t="shared" si="48"/>
        <v>0</v>
      </c>
      <c r="R100" s="19">
        <v>0</v>
      </c>
      <c r="S100" s="11">
        <f t="shared" si="51"/>
        <v>0</v>
      </c>
      <c r="T100" s="29">
        <v>0</v>
      </c>
      <c r="U100" s="20">
        <f t="shared" si="52"/>
        <v>0</v>
      </c>
      <c r="V100" s="12">
        <f t="shared" si="53"/>
        <v>0</v>
      </c>
      <c r="W100" s="20">
        <f t="shared" si="54"/>
        <v>0</v>
      </c>
    </row>
    <row r="101" spans="1:23" x14ac:dyDescent="0.3">
      <c r="A101" s="18" t="s">
        <v>42</v>
      </c>
      <c r="B101" s="16">
        <v>0</v>
      </c>
      <c r="C101" s="11">
        <f t="shared" si="49"/>
        <v>0</v>
      </c>
      <c r="D101" s="16">
        <v>0</v>
      </c>
      <c r="E101" s="11">
        <f t="shared" si="50"/>
        <v>0</v>
      </c>
      <c r="F101" s="16">
        <v>0</v>
      </c>
      <c r="G101" s="11">
        <f t="shared" si="43"/>
        <v>0</v>
      </c>
      <c r="H101" s="16">
        <v>0</v>
      </c>
      <c r="I101" s="11">
        <f t="shared" si="44"/>
        <v>0</v>
      </c>
      <c r="J101" s="16">
        <v>0</v>
      </c>
      <c r="K101" s="11">
        <f t="shared" si="45"/>
        <v>0</v>
      </c>
      <c r="L101" s="16">
        <v>3</v>
      </c>
      <c r="M101" s="11">
        <f t="shared" si="46"/>
        <v>2.5862068965517241E-2</v>
      </c>
      <c r="N101" s="16">
        <v>0</v>
      </c>
      <c r="O101" s="11">
        <f t="shared" si="47"/>
        <v>0</v>
      </c>
      <c r="P101" s="16">
        <v>0</v>
      </c>
      <c r="Q101" s="11">
        <f t="shared" si="48"/>
        <v>0</v>
      </c>
      <c r="R101" s="19">
        <v>0</v>
      </c>
      <c r="S101" s="11">
        <f t="shared" si="51"/>
        <v>0</v>
      </c>
      <c r="T101" s="29">
        <v>0</v>
      </c>
      <c r="U101" s="20">
        <f t="shared" si="52"/>
        <v>0</v>
      </c>
      <c r="V101" s="12">
        <f t="shared" si="53"/>
        <v>3</v>
      </c>
      <c r="W101" s="20">
        <f t="shared" si="54"/>
        <v>2.2271714922048997E-3</v>
      </c>
    </row>
    <row r="102" spans="1:23" x14ac:dyDescent="0.3">
      <c r="A102" s="18" t="s">
        <v>43</v>
      </c>
      <c r="B102" s="16">
        <v>0</v>
      </c>
      <c r="C102" s="11">
        <f t="shared" si="49"/>
        <v>0</v>
      </c>
      <c r="D102" s="16">
        <v>0</v>
      </c>
      <c r="E102" s="11">
        <f t="shared" si="50"/>
        <v>0</v>
      </c>
      <c r="F102" s="16">
        <v>0</v>
      </c>
      <c r="G102" s="11">
        <f t="shared" si="43"/>
        <v>0</v>
      </c>
      <c r="H102" s="16">
        <v>2</v>
      </c>
      <c r="I102" s="11">
        <f t="shared" si="44"/>
        <v>1.0869565217391304E-2</v>
      </c>
      <c r="J102" s="16">
        <v>0</v>
      </c>
      <c r="K102" s="11">
        <f t="shared" si="45"/>
        <v>0</v>
      </c>
      <c r="L102" s="16">
        <v>0</v>
      </c>
      <c r="M102" s="11">
        <f t="shared" si="46"/>
        <v>0</v>
      </c>
      <c r="N102" s="16">
        <v>0</v>
      </c>
      <c r="O102" s="11">
        <f t="shared" si="47"/>
        <v>0</v>
      </c>
      <c r="P102" s="16">
        <v>0</v>
      </c>
      <c r="Q102" s="11">
        <f t="shared" si="48"/>
        <v>0</v>
      </c>
      <c r="R102" s="19">
        <v>0</v>
      </c>
      <c r="S102" s="11">
        <f t="shared" si="51"/>
        <v>0</v>
      </c>
      <c r="T102" s="29">
        <v>0</v>
      </c>
      <c r="U102" s="20">
        <f t="shared" si="52"/>
        <v>0</v>
      </c>
      <c r="V102" s="12">
        <f t="shared" si="53"/>
        <v>2</v>
      </c>
      <c r="W102" s="20">
        <f t="shared" si="54"/>
        <v>1.4847809948032665E-3</v>
      </c>
    </row>
    <row r="103" spans="1:23" x14ac:dyDescent="0.3">
      <c r="A103" s="18" t="s">
        <v>44</v>
      </c>
      <c r="B103" s="16">
        <v>0</v>
      </c>
      <c r="C103" s="11">
        <f t="shared" si="49"/>
        <v>0</v>
      </c>
      <c r="D103" s="16">
        <v>0</v>
      </c>
      <c r="E103" s="11">
        <f t="shared" si="50"/>
        <v>0</v>
      </c>
      <c r="F103" s="16">
        <v>0</v>
      </c>
      <c r="G103" s="11">
        <f t="shared" si="43"/>
        <v>0</v>
      </c>
      <c r="H103" s="16">
        <v>1</v>
      </c>
      <c r="I103" s="11">
        <f t="shared" si="44"/>
        <v>5.434782608695652E-3</v>
      </c>
      <c r="J103" s="16">
        <v>7</v>
      </c>
      <c r="K103" s="11">
        <f t="shared" si="45"/>
        <v>3.3018867924528301E-2</v>
      </c>
      <c r="L103" s="16">
        <v>0</v>
      </c>
      <c r="M103" s="11">
        <f t="shared" si="46"/>
        <v>0</v>
      </c>
      <c r="N103" s="16">
        <v>0</v>
      </c>
      <c r="O103" s="11">
        <f t="shared" si="47"/>
        <v>0</v>
      </c>
      <c r="P103" s="16">
        <v>0</v>
      </c>
      <c r="Q103" s="11">
        <f t="shared" si="48"/>
        <v>0</v>
      </c>
      <c r="R103" s="19">
        <v>4</v>
      </c>
      <c r="S103" s="11">
        <f t="shared" si="51"/>
        <v>2.8169014084507043E-2</v>
      </c>
      <c r="T103" s="29">
        <v>0</v>
      </c>
      <c r="U103" s="20">
        <f t="shared" si="52"/>
        <v>0</v>
      </c>
      <c r="V103" s="12">
        <f t="shared" si="53"/>
        <v>12</v>
      </c>
      <c r="W103" s="20">
        <f t="shared" si="54"/>
        <v>8.9086859688195987E-3</v>
      </c>
    </row>
    <row r="104" spans="1:23" x14ac:dyDescent="0.3">
      <c r="A104" s="18" t="s">
        <v>45</v>
      </c>
      <c r="B104" s="16">
        <v>0</v>
      </c>
      <c r="C104" s="11">
        <f t="shared" si="49"/>
        <v>0</v>
      </c>
      <c r="D104" s="16">
        <v>0</v>
      </c>
      <c r="E104" s="11">
        <f t="shared" si="50"/>
        <v>0</v>
      </c>
      <c r="F104" s="16">
        <v>0</v>
      </c>
      <c r="G104" s="11">
        <f t="shared" si="43"/>
        <v>0</v>
      </c>
      <c r="H104" s="16">
        <v>0</v>
      </c>
      <c r="I104" s="11">
        <f t="shared" si="44"/>
        <v>0</v>
      </c>
      <c r="J104" s="16">
        <v>0</v>
      </c>
      <c r="K104" s="11">
        <f t="shared" si="45"/>
        <v>0</v>
      </c>
      <c r="L104" s="16">
        <v>0</v>
      </c>
      <c r="M104" s="11">
        <f t="shared" si="46"/>
        <v>0</v>
      </c>
      <c r="N104" s="16">
        <v>0</v>
      </c>
      <c r="O104" s="11">
        <f t="shared" si="47"/>
        <v>0</v>
      </c>
      <c r="P104" s="16">
        <v>0</v>
      </c>
      <c r="Q104" s="11">
        <f t="shared" si="48"/>
        <v>0</v>
      </c>
      <c r="R104" s="19">
        <v>0</v>
      </c>
      <c r="S104" s="11">
        <f t="shared" si="51"/>
        <v>0</v>
      </c>
      <c r="T104" s="29">
        <v>0</v>
      </c>
      <c r="U104" s="20">
        <f t="shared" si="52"/>
        <v>0</v>
      </c>
      <c r="V104" s="12">
        <f t="shared" si="53"/>
        <v>0</v>
      </c>
      <c r="W104" s="20">
        <f t="shared" si="54"/>
        <v>0</v>
      </c>
    </row>
    <row r="105" spans="1:23" x14ac:dyDescent="0.3">
      <c r="A105" s="18" t="s">
        <v>46</v>
      </c>
      <c r="B105" s="16">
        <v>0</v>
      </c>
      <c r="C105" s="11">
        <f t="shared" si="49"/>
        <v>0</v>
      </c>
      <c r="D105" s="16">
        <v>0</v>
      </c>
      <c r="E105" s="11">
        <f t="shared" si="50"/>
        <v>0</v>
      </c>
      <c r="F105" s="16">
        <v>0</v>
      </c>
      <c r="G105" s="11">
        <f t="shared" si="43"/>
        <v>0</v>
      </c>
      <c r="H105" s="16">
        <v>0</v>
      </c>
      <c r="I105" s="11">
        <f t="shared" si="44"/>
        <v>0</v>
      </c>
      <c r="J105" s="16">
        <v>0</v>
      </c>
      <c r="K105" s="11">
        <f t="shared" si="45"/>
        <v>0</v>
      </c>
      <c r="L105" s="16">
        <v>0</v>
      </c>
      <c r="M105" s="11">
        <f t="shared" si="46"/>
        <v>0</v>
      </c>
      <c r="N105" s="16">
        <v>0</v>
      </c>
      <c r="O105" s="11">
        <f t="shared" si="47"/>
        <v>0</v>
      </c>
      <c r="P105" s="16">
        <v>0</v>
      </c>
      <c r="Q105" s="11">
        <f t="shared" si="48"/>
        <v>0</v>
      </c>
      <c r="R105" s="19">
        <v>0</v>
      </c>
      <c r="S105" s="11">
        <f t="shared" si="51"/>
        <v>0</v>
      </c>
      <c r="T105" s="29">
        <v>1</v>
      </c>
      <c r="U105" s="20">
        <f t="shared" si="52"/>
        <v>7.0921985815602835E-3</v>
      </c>
      <c r="V105" s="12">
        <f t="shared" si="53"/>
        <v>1</v>
      </c>
      <c r="W105" s="20">
        <f t="shared" si="54"/>
        <v>7.4239049740163323E-4</v>
      </c>
    </row>
    <row r="106" spans="1:23" x14ac:dyDescent="0.3">
      <c r="A106" s="18" t="s">
        <v>47</v>
      </c>
      <c r="B106" s="16">
        <v>0</v>
      </c>
      <c r="C106" s="11">
        <f t="shared" si="49"/>
        <v>0</v>
      </c>
      <c r="D106" s="16">
        <v>21</v>
      </c>
      <c r="E106" s="11">
        <f t="shared" si="50"/>
        <v>0.1076923076923077</v>
      </c>
      <c r="F106" s="16">
        <v>5</v>
      </c>
      <c r="G106" s="11">
        <f t="shared" si="43"/>
        <v>5.4945054945054944E-2</v>
      </c>
      <c r="H106" s="16">
        <v>6</v>
      </c>
      <c r="I106" s="11">
        <f t="shared" si="44"/>
        <v>3.2608695652173912E-2</v>
      </c>
      <c r="J106" s="16">
        <v>0</v>
      </c>
      <c r="K106" s="11">
        <f t="shared" si="45"/>
        <v>0</v>
      </c>
      <c r="L106" s="16">
        <v>0</v>
      </c>
      <c r="M106" s="11">
        <f t="shared" si="46"/>
        <v>0</v>
      </c>
      <c r="N106" s="16">
        <v>71</v>
      </c>
      <c r="O106" s="11">
        <f t="shared" si="47"/>
        <v>0.98611111111111116</v>
      </c>
      <c r="P106" s="16">
        <v>0</v>
      </c>
      <c r="Q106" s="11">
        <f t="shared" si="48"/>
        <v>0</v>
      </c>
      <c r="R106" s="19">
        <v>0</v>
      </c>
      <c r="S106" s="11">
        <f t="shared" si="51"/>
        <v>0</v>
      </c>
      <c r="T106" s="29">
        <v>0</v>
      </c>
      <c r="U106" s="20">
        <f t="shared" si="52"/>
        <v>0</v>
      </c>
      <c r="V106" s="12">
        <f t="shared" si="53"/>
        <v>103</v>
      </c>
      <c r="W106" s="20">
        <f t="shared" si="54"/>
        <v>7.6466221232368223E-2</v>
      </c>
    </row>
    <row r="107" spans="1:23" x14ac:dyDescent="0.3">
      <c r="A107" s="18" t="s">
        <v>57</v>
      </c>
      <c r="B107" s="16">
        <v>0</v>
      </c>
      <c r="C107" s="11">
        <f t="shared" si="49"/>
        <v>0</v>
      </c>
      <c r="D107" s="16">
        <v>0</v>
      </c>
      <c r="E107" s="11">
        <f t="shared" si="50"/>
        <v>0</v>
      </c>
      <c r="F107" s="16">
        <v>0</v>
      </c>
      <c r="G107" s="11">
        <f t="shared" si="43"/>
        <v>0</v>
      </c>
      <c r="H107" s="16">
        <v>0</v>
      </c>
      <c r="I107" s="11">
        <f t="shared" si="44"/>
        <v>0</v>
      </c>
      <c r="J107" s="16">
        <v>0</v>
      </c>
      <c r="K107" s="11">
        <f t="shared" si="45"/>
        <v>0</v>
      </c>
      <c r="L107" s="16">
        <v>0</v>
      </c>
      <c r="M107" s="11">
        <f t="shared" si="46"/>
        <v>0</v>
      </c>
      <c r="N107" s="16">
        <v>0</v>
      </c>
      <c r="O107" s="11">
        <f t="shared" si="47"/>
        <v>0</v>
      </c>
      <c r="P107" s="16">
        <v>0</v>
      </c>
      <c r="Q107" s="11">
        <f t="shared" si="48"/>
        <v>0</v>
      </c>
      <c r="R107" s="19">
        <v>0</v>
      </c>
      <c r="S107" s="11">
        <f t="shared" si="51"/>
        <v>0</v>
      </c>
      <c r="T107" s="29">
        <v>0</v>
      </c>
      <c r="U107" s="20">
        <f t="shared" si="52"/>
        <v>0</v>
      </c>
      <c r="V107" s="12">
        <f t="shared" si="53"/>
        <v>0</v>
      </c>
      <c r="W107" s="20">
        <f t="shared" si="54"/>
        <v>0</v>
      </c>
    </row>
    <row r="108" spans="1:23" x14ac:dyDescent="0.3">
      <c r="A108" s="18" t="s">
        <v>48</v>
      </c>
      <c r="B108" s="16">
        <v>0</v>
      </c>
      <c r="C108" s="11">
        <f t="shared" si="49"/>
        <v>0</v>
      </c>
      <c r="D108" s="16">
        <v>0</v>
      </c>
      <c r="E108" s="11">
        <f t="shared" si="50"/>
        <v>0</v>
      </c>
      <c r="F108" s="16">
        <v>0</v>
      </c>
      <c r="G108" s="11">
        <f t="shared" si="43"/>
        <v>0</v>
      </c>
      <c r="H108" s="16">
        <v>2</v>
      </c>
      <c r="I108" s="11">
        <f t="shared" si="44"/>
        <v>1.0869565217391304E-2</v>
      </c>
      <c r="J108" s="16">
        <v>0</v>
      </c>
      <c r="K108" s="11">
        <f t="shared" si="45"/>
        <v>0</v>
      </c>
      <c r="L108" s="16">
        <v>1</v>
      </c>
      <c r="M108" s="11">
        <f t="shared" si="46"/>
        <v>8.6206896551724137E-3</v>
      </c>
      <c r="N108" s="16">
        <v>0</v>
      </c>
      <c r="O108" s="11">
        <f t="shared" si="47"/>
        <v>0</v>
      </c>
      <c r="P108" s="16">
        <v>0</v>
      </c>
      <c r="Q108" s="11">
        <f t="shared" si="48"/>
        <v>0</v>
      </c>
      <c r="R108" s="19">
        <v>0</v>
      </c>
      <c r="S108" s="11">
        <f t="shared" si="51"/>
        <v>0</v>
      </c>
      <c r="T108" s="29">
        <v>0</v>
      </c>
      <c r="U108" s="20">
        <f t="shared" si="52"/>
        <v>0</v>
      </c>
      <c r="V108" s="12">
        <f t="shared" si="53"/>
        <v>3</v>
      </c>
      <c r="W108" s="20">
        <f t="shared" si="54"/>
        <v>2.2271714922048997E-3</v>
      </c>
    </row>
    <row r="109" spans="1:23" x14ac:dyDescent="0.3">
      <c r="A109" s="18" t="s">
        <v>49</v>
      </c>
      <c r="B109" s="16">
        <v>0</v>
      </c>
      <c r="C109" s="11">
        <f t="shared" si="49"/>
        <v>0</v>
      </c>
      <c r="D109" s="16">
        <v>4</v>
      </c>
      <c r="E109" s="11">
        <f t="shared" si="50"/>
        <v>2.0512820512820513E-2</v>
      </c>
      <c r="F109" s="16">
        <v>0</v>
      </c>
      <c r="G109" s="11">
        <f t="shared" si="43"/>
        <v>0</v>
      </c>
      <c r="H109" s="16">
        <v>0</v>
      </c>
      <c r="I109" s="11">
        <f t="shared" si="44"/>
        <v>0</v>
      </c>
      <c r="J109" s="16">
        <v>0</v>
      </c>
      <c r="K109" s="11">
        <f t="shared" si="45"/>
        <v>0</v>
      </c>
      <c r="L109" s="16">
        <v>0</v>
      </c>
      <c r="M109" s="11">
        <f t="shared" si="46"/>
        <v>0</v>
      </c>
      <c r="N109" s="16">
        <v>0</v>
      </c>
      <c r="O109" s="11">
        <f t="shared" si="47"/>
        <v>0</v>
      </c>
      <c r="P109" s="16">
        <v>11</v>
      </c>
      <c r="Q109" s="11">
        <f t="shared" si="48"/>
        <v>8.7999999999999995E-2</v>
      </c>
      <c r="R109" s="19">
        <v>0</v>
      </c>
      <c r="S109" s="11">
        <f t="shared" si="51"/>
        <v>0</v>
      </c>
      <c r="T109" s="29">
        <v>0</v>
      </c>
      <c r="U109" s="20">
        <f t="shared" si="52"/>
        <v>0</v>
      </c>
      <c r="V109" s="12">
        <f t="shared" si="53"/>
        <v>15</v>
      </c>
      <c r="W109" s="20">
        <f t="shared" si="54"/>
        <v>1.1135857461024499E-2</v>
      </c>
    </row>
    <row r="110" spans="1:23" x14ac:dyDescent="0.3">
      <c r="A110" s="18" t="s">
        <v>50</v>
      </c>
      <c r="B110" s="16">
        <v>0</v>
      </c>
      <c r="C110" s="11">
        <f t="shared" si="49"/>
        <v>0</v>
      </c>
      <c r="D110" s="16">
        <v>0</v>
      </c>
      <c r="E110" s="11">
        <f t="shared" si="50"/>
        <v>0</v>
      </c>
      <c r="F110" s="16">
        <v>0</v>
      </c>
      <c r="G110" s="11">
        <f t="shared" si="43"/>
        <v>0</v>
      </c>
      <c r="H110" s="16">
        <v>0</v>
      </c>
      <c r="I110" s="11">
        <f t="shared" si="44"/>
        <v>0</v>
      </c>
      <c r="J110" s="16">
        <v>0</v>
      </c>
      <c r="K110" s="11">
        <f t="shared" si="45"/>
        <v>0</v>
      </c>
      <c r="L110" s="16">
        <v>0</v>
      </c>
      <c r="M110" s="11">
        <f t="shared" si="46"/>
        <v>0</v>
      </c>
      <c r="N110" s="16">
        <v>0</v>
      </c>
      <c r="O110" s="11">
        <f t="shared" si="47"/>
        <v>0</v>
      </c>
      <c r="P110" s="16">
        <v>0</v>
      </c>
      <c r="Q110" s="11">
        <f t="shared" si="48"/>
        <v>0</v>
      </c>
      <c r="R110" s="19">
        <v>0</v>
      </c>
      <c r="S110" s="11">
        <f t="shared" si="51"/>
        <v>0</v>
      </c>
      <c r="T110" s="29">
        <v>0</v>
      </c>
      <c r="U110" s="20">
        <f t="shared" si="52"/>
        <v>0</v>
      </c>
      <c r="V110" s="12">
        <f t="shared" si="53"/>
        <v>0</v>
      </c>
      <c r="W110" s="20">
        <f t="shared" si="54"/>
        <v>0</v>
      </c>
    </row>
    <row r="111" spans="1:23" x14ac:dyDescent="0.3">
      <c r="A111" s="18" t="s">
        <v>51</v>
      </c>
      <c r="B111" s="16">
        <v>1</v>
      </c>
      <c r="C111" s="11">
        <f t="shared" si="49"/>
        <v>1.4492753623188406E-2</v>
      </c>
      <c r="D111" s="16">
        <v>1</v>
      </c>
      <c r="E111" s="11">
        <f t="shared" si="50"/>
        <v>5.1282051282051282E-3</v>
      </c>
      <c r="F111" s="16">
        <v>0</v>
      </c>
      <c r="G111" s="11">
        <f t="shared" si="43"/>
        <v>0</v>
      </c>
      <c r="H111" s="16">
        <v>0</v>
      </c>
      <c r="I111" s="11">
        <f t="shared" si="44"/>
        <v>0</v>
      </c>
      <c r="J111" s="16">
        <v>158</v>
      </c>
      <c r="K111" s="11">
        <f t="shared" si="45"/>
        <v>0.74528301886792447</v>
      </c>
      <c r="L111" s="16">
        <v>0</v>
      </c>
      <c r="M111" s="11">
        <f t="shared" si="46"/>
        <v>0</v>
      </c>
      <c r="N111" s="16">
        <v>0</v>
      </c>
      <c r="O111" s="11">
        <f t="shared" si="47"/>
        <v>0</v>
      </c>
      <c r="P111" s="16">
        <v>0</v>
      </c>
      <c r="Q111" s="11">
        <f t="shared" si="48"/>
        <v>0</v>
      </c>
      <c r="R111" s="19">
        <v>0</v>
      </c>
      <c r="S111" s="11">
        <f t="shared" si="51"/>
        <v>0</v>
      </c>
      <c r="T111" s="29">
        <v>0</v>
      </c>
      <c r="U111" s="20">
        <f t="shared" si="52"/>
        <v>0</v>
      </c>
      <c r="V111" s="12">
        <f t="shared" si="53"/>
        <v>160</v>
      </c>
      <c r="W111" s="20">
        <f t="shared" si="54"/>
        <v>0.11878247958426132</v>
      </c>
    </row>
    <row r="112" spans="1:23" x14ac:dyDescent="0.3">
      <c r="A112" s="18" t="s">
        <v>52</v>
      </c>
      <c r="B112" s="16">
        <v>0</v>
      </c>
      <c r="C112" s="11">
        <f t="shared" si="49"/>
        <v>0</v>
      </c>
      <c r="D112" s="16">
        <v>0</v>
      </c>
      <c r="E112" s="11">
        <f t="shared" si="50"/>
        <v>0</v>
      </c>
      <c r="F112" s="16">
        <v>0</v>
      </c>
      <c r="G112" s="11">
        <f t="shared" si="43"/>
        <v>0</v>
      </c>
      <c r="H112" s="16">
        <v>0</v>
      </c>
      <c r="I112" s="11">
        <f t="shared" si="44"/>
        <v>0</v>
      </c>
      <c r="J112" s="16">
        <v>1</v>
      </c>
      <c r="K112" s="11">
        <f t="shared" si="45"/>
        <v>4.7169811320754715E-3</v>
      </c>
      <c r="L112" s="16">
        <v>0</v>
      </c>
      <c r="M112" s="11">
        <f t="shared" si="46"/>
        <v>0</v>
      </c>
      <c r="N112" s="16">
        <v>0</v>
      </c>
      <c r="O112" s="11">
        <f t="shared" si="47"/>
        <v>0</v>
      </c>
      <c r="P112" s="16">
        <v>0</v>
      </c>
      <c r="Q112" s="11">
        <f t="shared" si="48"/>
        <v>0</v>
      </c>
      <c r="R112" s="19">
        <v>0</v>
      </c>
      <c r="S112" s="11">
        <f t="shared" si="51"/>
        <v>0</v>
      </c>
      <c r="T112" s="29">
        <v>0</v>
      </c>
      <c r="U112" s="20">
        <f t="shared" si="52"/>
        <v>0</v>
      </c>
      <c r="V112" s="12">
        <f t="shared" si="53"/>
        <v>1</v>
      </c>
      <c r="W112" s="20">
        <f t="shared" si="54"/>
        <v>7.4239049740163323E-4</v>
      </c>
    </row>
    <row r="113" spans="1:23" x14ac:dyDescent="0.3">
      <c r="A113" s="18" t="s">
        <v>53</v>
      </c>
      <c r="B113" s="16">
        <v>0</v>
      </c>
      <c r="C113" s="11">
        <f t="shared" si="49"/>
        <v>0</v>
      </c>
      <c r="D113" s="16">
        <v>0</v>
      </c>
      <c r="E113" s="11">
        <f t="shared" si="50"/>
        <v>0</v>
      </c>
      <c r="F113" s="16">
        <v>0</v>
      </c>
      <c r="G113" s="11">
        <f t="shared" si="43"/>
        <v>0</v>
      </c>
      <c r="H113" s="16">
        <v>0</v>
      </c>
      <c r="I113" s="11">
        <f t="shared" si="44"/>
        <v>0</v>
      </c>
      <c r="J113" s="16">
        <v>1</v>
      </c>
      <c r="K113" s="11">
        <f t="shared" si="45"/>
        <v>4.7169811320754715E-3</v>
      </c>
      <c r="L113" s="16">
        <v>0</v>
      </c>
      <c r="M113" s="11">
        <f t="shared" si="46"/>
        <v>0</v>
      </c>
      <c r="N113" s="16">
        <v>0</v>
      </c>
      <c r="O113" s="11">
        <f t="shared" si="47"/>
        <v>0</v>
      </c>
      <c r="P113" s="16">
        <v>0</v>
      </c>
      <c r="Q113" s="11">
        <f t="shared" si="48"/>
        <v>0</v>
      </c>
      <c r="R113" s="19">
        <v>0</v>
      </c>
      <c r="S113" s="11">
        <f t="shared" si="51"/>
        <v>0</v>
      </c>
      <c r="T113" s="29">
        <v>0</v>
      </c>
      <c r="U113" s="20">
        <f t="shared" si="52"/>
        <v>0</v>
      </c>
      <c r="V113" s="12">
        <f t="shared" si="53"/>
        <v>1</v>
      </c>
      <c r="W113" s="20">
        <f t="shared" si="54"/>
        <v>7.4239049740163323E-4</v>
      </c>
    </row>
    <row r="114" spans="1:23" x14ac:dyDescent="0.3">
      <c r="A114" s="25" t="s">
        <v>4</v>
      </c>
      <c r="B114" s="23">
        <f>SUM(B81:B113)</f>
        <v>69</v>
      </c>
      <c r="C114" s="26">
        <f t="shared" si="49"/>
        <v>1</v>
      </c>
      <c r="D114" s="23">
        <f>SUM(D81:D113)</f>
        <v>195</v>
      </c>
      <c r="E114" s="26">
        <f t="shared" si="50"/>
        <v>1</v>
      </c>
      <c r="F114" s="23">
        <f>SUM(F81:F113)</f>
        <v>91</v>
      </c>
      <c r="G114" s="26">
        <f t="shared" si="43"/>
        <v>1</v>
      </c>
      <c r="H114" s="23">
        <f>SUM(H81:H113)</f>
        <v>184</v>
      </c>
      <c r="I114" s="26">
        <f t="shared" si="44"/>
        <v>1</v>
      </c>
      <c r="J114" s="23">
        <f>SUM(J81:J113)</f>
        <v>212</v>
      </c>
      <c r="K114" s="26">
        <f t="shared" si="45"/>
        <v>1</v>
      </c>
      <c r="L114" s="23">
        <f>SUM(L81:L113)</f>
        <v>116</v>
      </c>
      <c r="M114" s="26">
        <f t="shared" si="46"/>
        <v>1</v>
      </c>
      <c r="N114" s="23">
        <f>SUM(N81:N113)</f>
        <v>72</v>
      </c>
      <c r="O114" s="26">
        <f t="shared" si="47"/>
        <v>1</v>
      </c>
      <c r="P114" s="23">
        <f>SUM(P81:P113)</f>
        <v>125</v>
      </c>
      <c r="Q114" s="26">
        <f t="shared" si="48"/>
        <v>1</v>
      </c>
      <c r="R114" s="23">
        <f>SUM(R81:R113)</f>
        <v>142</v>
      </c>
      <c r="S114" s="26">
        <f t="shared" si="51"/>
        <v>1</v>
      </c>
      <c r="T114" s="23">
        <f>T81+T82+T83+T84+T85+T86+T87+T88+T89+T90+T91+T92+T93+T94+T95+T96+T97+T98+T99+T101+T102+T103+T104+T105+T106+T107+T108+T109+T110+T111+T112+T113</f>
        <v>141</v>
      </c>
      <c r="U114" s="26">
        <f>SUM(U81:U113)</f>
        <v>1</v>
      </c>
      <c r="V114" s="23">
        <f>V81+V82+V83+V84+V85+V86+V87+V88+V89+V90+V91+V92+V93+V94+V95+V96+V97+V98+V99+V100+V101+V102+V103+V104+V105+V106+V107+V108+V109+V110+V111+V112+V113</f>
        <v>1347</v>
      </c>
      <c r="W114" s="26">
        <f>SUM(W81:W113)</f>
        <v>1</v>
      </c>
    </row>
    <row r="115" spans="1:23" x14ac:dyDescent="0.3">
      <c r="A115" s="1" t="s">
        <v>67</v>
      </c>
    </row>
    <row r="116" spans="1:23" ht="15.6" x14ac:dyDescent="0.3">
      <c r="J116" s="21"/>
    </row>
    <row r="117" spans="1:23" ht="18" x14ac:dyDescent="0.35">
      <c r="J117" s="22"/>
      <c r="K117" s="56" t="s">
        <v>94</v>
      </c>
    </row>
    <row r="118" spans="1:23" ht="15.6" x14ac:dyDescent="0.3">
      <c r="J118" s="22"/>
      <c r="K118" s="55" t="s">
        <v>93</v>
      </c>
    </row>
  </sheetData>
  <mergeCells count="69">
    <mergeCell ref="J5:U5"/>
    <mergeCell ref="J78:U78"/>
    <mergeCell ref="R48:S48"/>
    <mergeCell ref="R79:S79"/>
    <mergeCell ref="P79:Q79"/>
    <mergeCell ref="N79:O79"/>
    <mergeCell ref="J26:U26"/>
    <mergeCell ref="T27:U27"/>
    <mergeCell ref="L27:M27"/>
    <mergeCell ref="N27:O27"/>
    <mergeCell ref="P27:Q27"/>
    <mergeCell ref="A43:XFD43"/>
    <mergeCell ref="V26:W27"/>
    <mergeCell ref="D79:E79"/>
    <mergeCell ref="A78:A80"/>
    <mergeCell ref="F79:G79"/>
    <mergeCell ref="A23:W23"/>
    <mergeCell ref="A24:W24"/>
    <mergeCell ref="A25:W25"/>
    <mergeCell ref="A26:A28"/>
    <mergeCell ref="V78:W79"/>
    <mergeCell ref="T79:U79"/>
    <mergeCell ref="J47:U47"/>
    <mergeCell ref="T48:U48"/>
    <mergeCell ref="L79:M79"/>
    <mergeCell ref="J79:K79"/>
    <mergeCell ref="A47:A49"/>
    <mergeCell ref="B48:C48"/>
    <mergeCell ref="B79:C79"/>
    <mergeCell ref="B78:I78"/>
    <mergeCell ref="H79:I79"/>
    <mergeCell ref="A77:W77"/>
    <mergeCell ref="R27:S27"/>
    <mergeCell ref="B26:I26"/>
    <mergeCell ref="B27:C27"/>
    <mergeCell ref="D27:E27"/>
    <mergeCell ref="F27:G27"/>
    <mergeCell ref="H27:I27"/>
    <mergeCell ref="J27:K27"/>
    <mergeCell ref="A2:W2"/>
    <mergeCell ref="A3:W3"/>
    <mergeCell ref="A4:W4"/>
    <mergeCell ref="V5:W6"/>
    <mergeCell ref="A5:A7"/>
    <mergeCell ref="B5:I5"/>
    <mergeCell ref="B6:C6"/>
    <mergeCell ref="D6:E6"/>
    <mergeCell ref="F6:G6"/>
    <mergeCell ref="H6:I6"/>
    <mergeCell ref="R6:S6"/>
    <mergeCell ref="J6:K6"/>
    <mergeCell ref="L6:M6"/>
    <mergeCell ref="N6:O6"/>
    <mergeCell ref="P6:Q6"/>
    <mergeCell ref="T6:U6"/>
    <mergeCell ref="A75:W75"/>
    <mergeCell ref="A76:W76"/>
    <mergeCell ref="A44:W44"/>
    <mergeCell ref="A45:W45"/>
    <mergeCell ref="A46:W46"/>
    <mergeCell ref="B47:I47"/>
    <mergeCell ref="J48:K48"/>
    <mergeCell ref="V47:W48"/>
    <mergeCell ref="L48:M48"/>
    <mergeCell ref="N48:O48"/>
    <mergeCell ref="P48:Q48"/>
    <mergeCell ref="D48:E48"/>
    <mergeCell ref="F48:G48"/>
    <mergeCell ref="H48:I4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landscape" horizontalDpi="360" verticalDpi="360" r:id="rId1"/>
  <rowBreaks count="1" manualBreakCount="1">
    <brk id="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Usuario</cp:lastModifiedBy>
  <cp:lastPrinted>2025-01-15T16:02:49Z</cp:lastPrinted>
  <dcterms:created xsi:type="dcterms:W3CDTF">2022-07-11T13:01:47Z</dcterms:created>
  <dcterms:modified xsi:type="dcterms:W3CDTF">2026-01-13T19:18:13Z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2022-10-03T18:27:38Z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11de70bc-205d-415c-8103-287f5e1a22a3</vt:lpwstr>
  </property>
  <property fmtid="{D5CDD505-2E9C-101B-9397-08002B2CF9AE}" pid="7" name="MSIP_Label_defa4170-0d19-0005-0004-bc88714345d2_ActionId">
    <vt:lpwstr>44b13cbf-ae5e-4bd0-ad82-47e90c14fd3b</vt:lpwstr>
  </property>
  <property fmtid="{D5CDD505-2E9C-101B-9397-08002B2CF9AE}" pid="8" name="MSIP_Label_defa4170-0d19-0005-0004-bc88714345d2_ContentBits">
    <vt:lpwstr>0</vt:lpwstr>
  </property>
</Properties>
</file>