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tables/table1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Accinformacion 1\Desktop\Copias PACC\"/>
    </mc:Choice>
  </mc:AlternateContent>
  <xr:revisionPtr revIDLastSave="0" documentId="8_{C1839ED7-0DAA-44DB-833F-6D0F9898D523}"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PACC!$A$1:$J$2124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2083" i="2" l="1"/>
  <c r="I2083" i="2"/>
  <c r="H2083" i="2"/>
  <c r="C2078" i="2"/>
  <c r="C2076" i="2"/>
  <c r="J2071" i="2"/>
  <c r="I2071" i="2"/>
  <c r="H2071" i="2"/>
  <c r="C2066" i="2"/>
  <c r="C2064" i="2"/>
  <c r="J2059" i="2"/>
  <c r="I2059" i="2"/>
  <c r="H2059" i="2"/>
  <c r="C2054" i="2"/>
  <c r="C2052" i="2"/>
  <c r="J2047" i="2"/>
  <c r="I2047" i="2"/>
  <c r="H2047" i="2"/>
  <c r="C2042" i="2"/>
  <c r="C2040" i="2"/>
  <c r="J2035" i="2"/>
  <c r="I2035" i="2"/>
  <c r="H2035" i="2"/>
  <c r="C2030" i="2"/>
  <c r="C2028" i="2"/>
  <c r="J2023" i="2"/>
  <c r="I2023" i="2"/>
  <c r="H2023" i="2"/>
  <c r="C2018" i="2"/>
  <c r="C2016" i="2"/>
  <c r="J2011" i="2"/>
  <c r="I2011" i="2"/>
  <c r="H2011" i="2"/>
  <c r="C2006" i="2"/>
  <c r="C2004" i="2"/>
  <c r="J1999" i="2"/>
  <c r="I1999" i="2"/>
  <c r="H1999" i="2"/>
  <c r="C1994" i="2"/>
  <c r="C1992" i="2"/>
  <c r="J1987" i="2"/>
  <c r="I1987" i="2"/>
  <c r="H1987" i="2"/>
  <c r="C1981" i="2"/>
  <c r="C1979" i="2"/>
  <c r="J1974" i="2"/>
  <c r="I1974" i="2"/>
  <c r="H1974" i="2"/>
  <c r="C1968" i="2"/>
  <c r="C1966" i="2"/>
  <c r="J1961" i="2"/>
  <c r="I1961" i="2"/>
  <c r="H1961" i="2"/>
  <c r="C1955" i="2"/>
  <c r="C1953" i="2"/>
  <c r="J1948" i="2"/>
  <c r="I1948" i="2"/>
  <c r="H1948" i="2"/>
  <c r="C1942" i="2"/>
  <c r="C1940" i="2"/>
  <c r="J1935" i="2"/>
  <c r="I1935" i="2"/>
  <c r="H1935" i="2"/>
  <c r="C1917" i="2"/>
  <c r="C1915" i="2"/>
  <c r="J1910" i="2"/>
  <c r="I1910" i="2"/>
  <c r="H1910" i="2"/>
  <c r="C1892" i="2"/>
  <c r="C1890" i="2"/>
  <c r="J1885" i="2"/>
  <c r="I1885" i="2"/>
  <c r="H1885" i="2"/>
  <c r="C1867" i="2"/>
  <c r="C1865" i="2"/>
  <c r="J1860" i="2"/>
  <c r="I1860" i="2"/>
  <c r="H1860" i="2"/>
  <c r="C1842" i="2"/>
  <c r="C1840" i="2"/>
  <c r="J1835" i="2"/>
  <c r="I1835" i="2"/>
  <c r="H1835" i="2"/>
  <c r="C1830" i="2"/>
  <c r="C1828" i="2"/>
  <c r="J1823" i="2"/>
  <c r="I1823" i="2"/>
  <c r="H1823" i="2"/>
  <c r="C1818" i="2"/>
  <c r="C1816" i="2"/>
  <c r="J1811" i="2"/>
  <c r="I1811" i="2"/>
  <c r="H1811" i="2"/>
  <c r="C1806" i="2"/>
  <c r="C1804" i="2"/>
  <c r="J1799" i="2"/>
  <c r="I1799" i="2"/>
  <c r="H1799" i="2"/>
  <c r="C1794" i="2"/>
  <c r="C1792" i="2"/>
  <c r="J1787" i="2"/>
  <c r="I1787" i="2"/>
  <c r="H1787" i="2"/>
  <c r="C1782" i="2"/>
  <c r="C1780" i="2"/>
  <c r="J1775" i="2"/>
  <c r="I1775" i="2"/>
  <c r="H1775" i="2"/>
  <c r="C1770" i="2"/>
  <c r="C1768" i="2"/>
  <c r="J1763" i="2"/>
  <c r="I1763" i="2"/>
  <c r="H1763" i="2"/>
  <c r="C1758" i="2"/>
  <c r="C1756" i="2"/>
  <c r="J1751" i="2"/>
  <c r="I1751" i="2"/>
  <c r="H1751" i="2"/>
  <c r="C1746" i="2"/>
  <c r="C1744" i="2"/>
  <c r="J1739" i="2" l="1"/>
  <c r="I1739" i="2"/>
  <c r="H1739" i="2"/>
  <c r="C1734" i="2"/>
  <c r="C1732" i="2"/>
  <c r="J1727" i="2"/>
  <c r="I1727" i="2"/>
  <c r="H1727" i="2"/>
  <c r="C1722" i="2"/>
  <c r="C1720" i="2"/>
  <c r="J1715" i="2"/>
  <c r="I1715" i="2"/>
  <c r="H1715" i="2"/>
  <c r="C1710" i="2"/>
  <c r="C1708" i="2"/>
  <c r="J1703" i="2"/>
  <c r="I1703" i="2"/>
  <c r="H1703" i="2"/>
  <c r="C1698" i="2"/>
  <c r="C1696" i="2"/>
  <c r="J1691" i="2"/>
  <c r="I1691" i="2"/>
  <c r="H1691" i="2"/>
  <c r="C1681" i="2"/>
  <c r="C1679" i="2"/>
  <c r="J1674" i="2"/>
  <c r="I1674" i="2"/>
  <c r="H1674" i="2"/>
  <c r="C1664" i="2"/>
  <c r="C1662" i="2"/>
  <c r="J1657" i="2"/>
  <c r="I1657" i="2"/>
  <c r="H1657" i="2"/>
  <c r="C1647" i="2"/>
  <c r="C1645" i="2"/>
  <c r="J1640" i="2"/>
  <c r="I1640" i="2"/>
  <c r="H1640" i="2"/>
  <c r="C1630" i="2"/>
  <c r="C1628" i="2"/>
  <c r="J1623" i="2"/>
  <c r="I1623" i="2"/>
  <c r="H1623" i="2"/>
  <c r="C1618" i="2"/>
  <c r="C1616" i="2"/>
  <c r="J1611" i="2"/>
  <c r="I1611" i="2"/>
  <c r="H1611" i="2"/>
  <c r="C1606" i="2"/>
  <c r="C1604" i="2"/>
  <c r="J1599" i="2"/>
  <c r="I1599" i="2"/>
  <c r="H1599" i="2"/>
  <c r="C1594" i="2"/>
  <c r="C1592" i="2"/>
  <c r="J1587" i="2"/>
  <c r="I1587" i="2"/>
  <c r="H1587" i="2"/>
  <c r="C1582" i="2"/>
  <c r="C1580" i="2"/>
  <c r="J1575" i="2"/>
  <c r="I1575" i="2"/>
  <c r="H1575" i="2"/>
  <c r="C1568" i="2"/>
  <c r="C1566" i="2"/>
  <c r="J1561" i="2"/>
  <c r="I1561" i="2"/>
  <c r="H1561" i="2"/>
  <c r="C1554" i="2"/>
  <c r="C1552" i="2"/>
  <c r="J1547" i="2"/>
  <c r="I1547" i="2"/>
  <c r="H1547" i="2"/>
  <c r="C1540" i="2"/>
  <c r="C1538" i="2"/>
  <c r="J1533" i="2"/>
  <c r="I1533" i="2"/>
  <c r="H1533" i="2"/>
  <c r="C1526" i="2"/>
  <c r="C1524" i="2"/>
  <c r="J1519" i="2"/>
  <c r="I1519" i="2"/>
  <c r="H1519" i="2"/>
  <c r="C1513" i="2"/>
  <c r="C1511" i="2"/>
  <c r="J1506" i="2"/>
  <c r="I1506" i="2"/>
  <c r="H1506" i="2"/>
  <c r="C1500" i="2"/>
  <c r="C1498" i="2"/>
  <c r="J1493" i="2"/>
  <c r="I1493" i="2"/>
  <c r="H1493" i="2"/>
  <c r="C1487" i="2"/>
  <c r="C1485" i="2"/>
  <c r="J1480" i="2"/>
  <c r="I1480" i="2"/>
  <c r="H1480" i="2"/>
  <c r="C1474" i="2"/>
  <c r="C1472" i="2"/>
  <c r="J1467" i="2"/>
  <c r="I1467" i="2"/>
  <c r="H1467" i="2"/>
  <c r="C1462" i="2"/>
  <c r="C1460" i="2"/>
  <c r="J1455" i="2"/>
  <c r="I1455" i="2"/>
  <c r="H1455" i="2"/>
  <c r="C1450" i="2"/>
  <c r="C1448" i="2"/>
  <c r="J1443" i="2"/>
  <c r="I1443" i="2"/>
  <c r="H1443" i="2"/>
  <c r="C1438" i="2"/>
  <c r="C1436" i="2"/>
  <c r="J1431" i="2"/>
  <c r="I1431" i="2"/>
  <c r="H1431" i="2"/>
  <c r="C1426" i="2"/>
  <c r="C1424" i="2"/>
  <c r="J1419" i="2"/>
  <c r="I1419" i="2"/>
  <c r="H1419" i="2"/>
  <c r="C1414" i="2"/>
  <c r="C1412" i="2"/>
  <c r="J1407" i="2"/>
  <c r="I1407" i="2"/>
  <c r="H1407" i="2"/>
  <c r="C1402" i="2"/>
  <c r="C1400" i="2"/>
  <c r="J1395" i="2"/>
  <c r="I1395" i="2"/>
  <c r="H1395" i="2"/>
  <c r="C1390" i="2"/>
  <c r="C1388" i="2"/>
  <c r="J1383" i="2"/>
  <c r="I1383" i="2"/>
  <c r="H1383" i="2"/>
  <c r="C1378" i="2"/>
  <c r="C1376" i="2"/>
  <c r="J1371" i="2"/>
  <c r="I1371" i="2"/>
  <c r="H1371" i="2"/>
  <c r="C1366" i="2"/>
  <c r="C1364" i="2"/>
  <c r="J1359" i="2"/>
  <c r="I1359" i="2"/>
  <c r="H1359" i="2"/>
  <c r="C1354" i="2"/>
  <c r="C1352" i="2"/>
  <c r="J1347" i="2"/>
  <c r="I1347" i="2"/>
  <c r="H1347" i="2"/>
  <c r="C1342" i="2"/>
  <c r="C1340" i="2"/>
  <c r="J1335" i="2"/>
  <c r="I1335" i="2"/>
  <c r="H1335" i="2"/>
  <c r="C1330" i="2"/>
  <c r="C1328" i="2"/>
  <c r="J1323" i="2"/>
  <c r="I1323" i="2"/>
  <c r="H1323" i="2"/>
  <c r="C1318" i="2"/>
  <c r="C1316" i="2"/>
  <c r="J1311" i="2"/>
  <c r="I1311" i="2"/>
  <c r="H1311" i="2"/>
  <c r="C1306" i="2"/>
  <c r="C1304" i="2"/>
  <c r="J1299" i="2"/>
  <c r="I1299" i="2"/>
  <c r="H1299" i="2"/>
  <c r="C1294" i="2"/>
  <c r="C1292" i="2"/>
  <c r="J1287" i="2"/>
  <c r="I1287" i="2"/>
  <c r="H1287" i="2"/>
  <c r="C1280" i="2"/>
  <c r="C1278" i="2"/>
  <c r="J1273" i="2"/>
  <c r="I1273" i="2"/>
  <c r="H1273" i="2"/>
  <c r="C1267" i="2"/>
  <c r="C1265" i="2"/>
  <c r="J1260" i="2"/>
  <c r="I1260" i="2"/>
  <c r="H1260" i="2"/>
  <c r="C1253" i="2"/>
  <c r="C1251" i="2"/>
  <c r="J1246" i="2"/>
  <c r="I1246" i="2"/>
  <c r="H1246" i="2"/>
  <c r="C1242" i="2"/>
  <c r="C1240" i="2"/>
  <c r="J1235" i="2"/>
  <c r="I1235" i="2"/>
  <c r="H1235" i="2"/>
  <c r="C1231" i="2"/>
  <c r="C1229" i="2"/>
  <c r="J1224" i="2"/>
  <c r="I1224" i="2"/>
  <c r="H1224" i="2"/>
  <c r="C1220" i="2"/>
  <c r="C1218" i="2"/>
  <c r="J1213" i="2"/>
  <c r="I1213" i="2"/>
  <c r="H1213" i="2"/>
  <c r="C1207" i="2"/>
  <c r="C1205" i="2"/>
  <c r="J1200" i="2"/>
  <c r="I1200" i="2"/>
  <c r="H1200" i="2"/>
  <c r="C1195" i="2"/>
  <c r="C1193" i="2"/>
  <c r="J1188" i="2"/>
  <c r="I1188" i="2"/>
  <c r="H1188" i="2"/>
  <c r="C1182" i="2"/>
  <c r="C1180" i="2"/>
  <c r="J1175" i="2"/>
  <c r="I1175" i="2"/>
  <c r="H1175" i="2"/>
  <c r="C1170" i="2"/>
  <c r="C1168" i="2"/>
  <c r="J1163" i="2"/>
  <c r="I1163" i="2"/>
  <c r="H1163" i="2"/>
  <c r="C1158" i="2"/>
  <c r="C1156" i="2"/>
  <c r="J1151" i="2"/>
  <c r="I1151" i="2"/>
  <c r="H1151" i="2"/>
  <c r="C1146" i="2"/>
  <c r="C1144" i="2"/>
  <c r="J1139" i="2"/>
  <c r="I1139" i="2"/>
  <c r="H1139" i="2"/>
  <c r="C1133" i="2"/>
  <c r="C1131" i="2"/>
  <c r="J1126" i="2"/>
  <c r="I1126" i="2"/>
  <c r="H1126" i="2"/>
  <c r="C1121" i="2"/>
  <c r="C1119" i="2"/>
  <c r="J1114" i="2"/>
  <c r="I1114" i="2"/>
  <c r="H1114" i="2"/>
  <c r="C1109" i="2"/>
  <c r="C1107" i="2"/>
  <c r="J1102" i="2"/>
  <c r="I1102" i="2"/>
  <c r="H1102" i="2"/>
  <c r="C1097" i="2"/>
  <c r="C1095" i="2"/>
  <c r="J1090" i="2"/>
  <c r="I1090" i="2"/>
  <c r="H1090" i="2"/>
  <c r="C1077" i="2"/>
  <c r="C1075" i="2"/>
  <c r="J1070" i="2"/>
  <c r="I1070" i="2"/>
  <c r="H1070" i="2"/>
  <c r="C1052" i="2"/>
  <c r="C1050" i="2"/>
  <c r="J1045" i="2"/>
  <c r="I1045" i="2"/>
  <c r="H1045" i="2"/>
  <c r="C1032" i="2"/>
  <c r="C1030" i="2"/>
  <c r="J1025" i="2"/>
  <c r="I1025" i="2"/>
  <c r="H1025" i="2"/>
  <c r="C1007" i="2"/>
  <c r="C1005" i="2"/>
  <c r="J1000" i="2"/>
  <c r="I1000" i="2"/>
  <c r="H1000" i="2"/>
  <c r="C990" i="2"/>
  <c r="C988" i="2"/>
  <c r="J983" i="2"/>
  <c r="I983" i="2"/>
  <c r="H983" i="2"/>
  <c r="C975" i="2"/>
  <c r="C973" i="2"/>
  <c r="J968" i="2"/>
  <c r="I968" i="2"/>
  <c r="H968" i="2"/>
  <c r="C960" i="2"/>
  <c r="C958" i="2"/>
  <c r="F2082" i="2"/>
  <c r="F2070" i="2"/>
  <c r="F2058" i="2"/>
  <c r="B2046" i="2"/>
  <c r="B2082" i="2"/>
  <c r="B2070" i="2"/>
  <c r="B2058" i="2"/>
  <c r="F2046" i="2"/>
  <c r="B2034" i="2"/>
  <c r="B2022" i="2"/>
  <c r="B2010" i="2"/>
  <c r="B1998" i="2"/>
  <c r="F1986" i="2"/>
  <c r="B1984" i="2"/>
  <c r="B1972" i="2"/>
  <c r="F1960" i="2"/>
  <c r="F1958" i="2"/>
  <c r="B1946" i="2"/>
  <c r="F1934" i="2"/>
  <c r="F1932" i="2"/>
  <c r="B1930" i="2"/>
  <c r="B1928" i="2"/>
  <c r="B1926" i="2"/>
  <c r="B1924" i="2"/>
  <c r="B1922" i="2"/>
  <c r="F1920" i="2"/>
  <c r="B1908" i="2"/>
  <c r="F1906" i="2"/>
  <c r="B1904" i="2"/>
  <c r="B1902" i="2"/>
  <c r="B1900" i="2"/>
  <c r="F1898" i="2"/>
  <c r="B1896" i="2"/>
  <c r="B1884" i="2"/>
  <c r="B1882" i="2"/>
  <c r="B1880" i="2"/>
  <c r="B1878" i="2"/>
  <c r="B1876" i="2"/>
  <c r="B1874" i="2"/>
  <c r="F1872" i="2"/>
  <c r="B1870" i="2"/>
  <c r="B1858" i="2"/>
  <c r="B1856" i="2"/>
  <c r="B1854" i="2"/>
  <c r="B1852" i="2"/>
  <c r="B1850" i="2"/>
  <c r="B1848" i="2"/>
  <c r="B1846" i="2"/>
  <c r="B1834" i="2"/>
  <c r="B1822" i="2"/>
  <c r="B1810" i="2"/>
  <c r="B1798" i="2"/>
  <c r="B1786" i="2"/>
  <c r="B1774" i="2"/>
  <c r="B1762" i="2"/>
  <c r="B1750" i="2"/>
  <c r="B2081" i="2"/>
  <c r="F2069" i="2"/>
  <c r="F2057" i="2"/>
  <c r="B2045" i="2"/>
  <c r="B2033" i="2"/>
  <c r="B2021" i="2"/>
  <c r="F2009" i="2"/>
  <c r="F1997" i="2"/>
  <c r="F1985" i="2"/>
  <c r="F1973" i="2"/>
  <c r="F1971" i="2"/>
  <c r="F1959" i="2"/>
  <c r="F1947" i="2"/>
  <c r="F1945" i="2"/>
  <c r="F1933" i="2"/>
  <c r="F1931" i="2"/>
  <c r="B1929" i="2"/>
  <c r="B1927" i="2"/>
  <c r="B1925" i="2"/>
  <c r="F1923" i="2"/>
  <c r="B1921" i="2"/>
  <c r="F1909" i="2"/>
  <c r="B1907" i="2"/>
  <c r="F1905" i="2"/>
  <c r="F1903" i="2"/>
  <c r="B1901" i="2"/>
  <c r="F1899" i="2"/>
  <c r="B1897" i="2"/>
  <c r="F1895" i="2"/>
  <c r="B1883" i="2"/>
  <c r="F1881" i="2"/>
  <c r="B1879" i="2"/>
  <c r="F1877" i="2"/>
  <c r="B1875" i="2"/>
  <c r="B1873" i="2"/>
  <c r="F1871" i="2"/>
  <c r="F1859" i="2"/>
  <c r="F1857" i="2"/>
  <c r="B1855" i="2"/>
  <c r="F1853" i="2"/>
  <c r="B1851" i="2"/>
  <c r="F1849" i="2"/>
  <c r="F1847" i="2"/>
  <c r="B1845" i="2"/>
  <c r="F1833" i="2"/>
  <c r="F1821" i="2"/>
  <c r="F1809" i="2"/>
  <c r="F1797" i="2"/>
  <c r="F1785" i="2"/>
  <c r="F1773" i="2"/>
  <c r="B1761" i="2"/>
  <c r="B1749" i="2"/>
  <c r="B1931" i="2"/>
  <c r="F1907" i="2"/>
  <c r="B1903" i="2"/>
  <c r="B1899" i="2"/>
  <c r="B1895" i="2"/>
  <c r="B1881" i="2"/>
  <c r="F1875" i="2"/>
  <c r="B1871" i="2"/>
  <c r="B1857" i="2"/>
  <c r="F1855" i="2"/>
  <c r="F1851" i="2"/>
  <c r="B1847" i="2"/>
  <c r="B1833" i="2"/>
  <c r="B1821" i="2"/>
  <c r="B1797" i="2"/>
  <c r="B1773" i="2"/>
  <c r="F1749" i="2"/>
  <c r="F2022" i="2"/>
  <c r="B1986" i="2"/>
  <c r="F1972" i="2"/>
  <c r="F1946" i="2"/>
  <c r="B1932" i="2"/>
  <c r="F1926" i="2"/>
  <c r="F2081" i="2"/>
  <c r="B2069" i="2"/>
  <c r="B2057" i="2"/>
  <c r="F2045" i="2"/>
  <c r="F2033" i="2"/>
  <c r="F2021" i="2"/>
  <c r="B2009" i="2"/>
  <c r="B1997" i="2"/>
  <c r="B1985" i="2"/>
  <c r="B1973" i="2"/>
  <c r="B1971" i="2"/>
  <c r="B1959" i="2"/>
  <c r="B1947" i="2"/>
  <c r="B1945" i="2"/>
  <c r="B1933" i="2"/>
  <c r="F1929" i="2"/>
  <c r="F1927" i="2"/>
  <c r="F1925" i="2"/>
  <c r="B1923" i="2"/>
  <c r="F1921" i="2"/>
  <c r="B1909" i="2"/>
  <c r="B1905" i="2"/>
  <c r="F1901" i="2"/>
  <c r="F1897" i="2"/>
  <c r="F1883" i="2"/>
  <c r="F1879" i="2"/>
  <c r="B1877" i="2"/>
  <c r="F1873" i="2"/>
  <c r="B1859" i="2"/>
  <c r="B1853" i="2"/>
  <c r="B1849" i="2"/>
  <c r="F1845" i="2"/>
  <c r="B1809" i="2"/>
  <c r="F1761" i="2"/>
  <c r="F2034" i="2"/>
  <c r="F2010" i="2"/>
  <c r="F1998" i="2"/>
  <c r="F1984" i="2"/>
  <c r="B1960" i="2"/>
  <c r="B1934" i="2"/>
  <c r="F1928" i="2"/>
  <c r="F1922" i="2"/>
  <c r="B1785" i="2"/>
  <c r="B1958" i="2"/>
  <c r="F1930" i="2"/>
  <c r="F1924" i="2"/>
  <c r="B1920" i="2"/>
  <c r="F1902" i="2"/>
  <c r="F1884" i="2"/>
  <c r="F1876" i="2"/>
  <c r="F1858" i="2"/>
  <c r="F1850" i="2"/>
  <c r="F1822" i="2"/>
  <c r="F1774" i="2"/>
  <c r="F1908" i="2"/>
  <c r="F1900" i="2"/>
  <c r="F1882" i="2"/>
  <c r="F1874" i="2"/>
  <c r="F1856" i="2"/>
  <c r="F1848" i="2"/>
  <c r="F1810" i="2"/>
  <c r="F1762" i="2"/>
  <c r="B1906" i="2"/>
  <c r="F1880" i="2"/>
  <c r="B1872" i="2"/>
  <c r="F1854" i="2"/>
  <c r="F1798" i="2"/>
  <c r="F1750" i="2"/>
  <c r="F1896" i="2"/>
  <c r="F1852" i="2"/>
  <c r="B1898" i="2"/>
  <c r="F1904" i="2"/>
  <c r="F1878" i="2"/>
  <c r="F1834" i="2"/>
  <c r="F1846" i="2"/>
  <c r="F1870" i="2"/>
  <c r="F1786" i="2"/>
  <c r="F1885" i="2" l="1"/>
  <c r="F1987" i="2"/>
  <c r="F1763" i="2"/>
  <c r="F1860" i="2"/>
  <c r="F2023" i="2"/>
  <c r="F2035" i="2"/>
  <c r="F2047" i="2"/>
  <c r="F2083" i="2"/>
  <c r="F1751" i="2"/>
  <c r="F1775" i="2"/>
  <c r="F1787" i="2"/>
  <c r="F1799" i="2"/>
  <c r="F1811" i="2"/>
  <c r="F1823" i="2"/>
  <c r="F1835" i="2"/>
  <c r="F1910" i="2"/>
  <c r="F1948" i="2"/>
  <c r="F1974" i="2"/>
  <c r="F1999" i="2"/>
  <c r="F2011" i="2"/>
  <c r="F2059" i="2"/>
  <c r="F2071" i="2"/>
  <c r="F1935" i="2"/>
  <c r="F1961" i="2"/>
  <c r="J953" i="2"/>
  <c r="I953" i="2"/>
  <c r="H953" i="2"/>
  <c r="C944" i="2"/>
  <c r="C942" i="2"/>
  <c r="F1725" i="2"/>
  <c r="B1701" i="2"/>
  <c r="B1687" i="2"/>
  <c r="F1673" i="2"/>
  <c r="F1669" i="2"/>
  <c r="F1655" i="2"/>
  <c r="B1651" i="2"/>
  <c r="F1637" i="2"/>
  <c r="B1633" i="2"/>
  <c r="B1609" i="2"/>
  <c r="B1585" i="2"/>
  <c r="F1571" i="2"/>
  <c r="B1557" i="2"/>
  <c r="B1543" i="2"/>
  <c r="B1529" i="2"/>
  <c r="F1505" i="2"/>
  <c r="F1491" i="2"/>
  <c r="B1477" i="2"/>
  <c r="B1453" i="2"/>
  <c r="B1429" i="2"/>
  <c r="B1405" i="2"/>
  <c r="B1381" i="2"/>
  <c r="B1357" i="2"/>
  <c r="B1333" i="2"/>
  <c r="F1309" i="2"/>
  <c r="B1285" i="2"/>
  <c r="F1271" i="2"/>
  <c r="F1257" i="2"/>
  <c r="F1223" i="2"/>
  <c r="F1199" i="2"/>
  <c r="B1185" i="2"/>
  <c r="B1737" i="2"/>
  <c r="B1689" i="2"/>
  <c r="B1671" i="2"/>
  <c r="B1653" i="2"/>
  <c r="B1635" i="2"/>
  <c r="B1597" i="2"/>
  <c r="B1559" i="2"/>
  <c r="F1531" i="2"/>
  <c r="F1503" i="2"/>
  <c r="F1465" i="2"/>
  <c r="B1417" i="2"/>
  <c r="B1369" i="2"/>
  <c r="B1321" i="2"/>
  <c r="F1283" i="2"/>
  <c r="F1245" i="2"/>
  <c r="B1187" i="2"/>
  <c r="F1150" i="2"/>
  <c r="F1136" i="2"/>
  <c r="B1112" i="2"/>
  <c r="B1088" i="2"/>
  <c r="F1084" i="2"/>
  <c r="F1080" i="2"/>
  <c r="F1066" i="2"/>
  <c r="F1062" i="2"/>
  <c r="F1058" i="2"/>
  <c r="F1044" i="2"/>
  <c r="F1040" i="2"/>
  <c r="F1036" i="2"/>
  <c r="F1022" i="2"/>
  <c r="F1018" i="2"/>
  <c r="F1014" i="2"/>
  <c r="F1010" i="2"/>
  <c r="F996" i="2"/>
  <c r="F982" i="2"/>
  <c r="F978" i="2"/>
  <c r="B964" i="2"/>
  <c r="B1714" i="2"/>
  <c r="B1686" i="2"/>
  <c r="B1668" i="2"/>
  <c r="B1650" i="2"/>
  <c r="B1622" i="2"/>
  <c r="F1574" i="2"/>
  <c r="B1546" i="2"/>
  <c r="B1518" i="2"/>
  <c r="F1490" i="2"/>
  <c r="B1442" i="2"/>
  <c r="B1394" i="2"/>
  <c r="B1346" i="2"/>
  <c r="B1270" i="2"/>
  <c r="B1212" i="2"/>
  <c r="F1149" i="2"/>
  <c r="B1125" i="2"/>
  <c r="B1086" i="2"/>
  <c r="B1061" i="2"/>
  <c r="B1018" i="2"/>
  <c r="F1069" i="2"/>
  <c r="B1021" i="2"/>
  <c r="B949" i="2"/>
  <c r="F1738" i="2"/>
  <c r="F1714" i="2"/>
  <c r="F1690" i="2"/>
  <c r="F1686" i="2"/>
  <c r="F1672" i="2"/>
  <c r="F1668" i="2"/>
  <c r="F1654" i="2"/>
  <c r="F1650" i="2"/>
  <c r="F1636" i="2"/>
  <c r="F1622" i="2"/>
  <c r="B1598" i="2"/>
  <c r="B1574" i="2"/>
  <c r="F1560" i="2"/>
  <c r="F1546" i="2"/>
  <c r="F1532" i="2"/>
  <c r="F1518" i="2"/>
  <c r="F1504" i="2"/>
  <c r="B1490" i="2"/>
  <c r="F1466" i="2"/>
  <c r="F1442" i="2"/>
  <c r="F1418" i="2"/>
  <c r="F1394" i="2"/>
  <c r="F1370" i="2"/>
  <c r="F1346" i="2"/>
  <c r="F1322" i="2"/>
  <c r="F1298" i="2"/>
  <c r="F1284" i="2"/>
  <c r="F1270" i="2"/>
  <c r="F1256" i="2"/>
  <c r="F1212" i="2"/>
  <c r="F1198" i="2"/>
  <c r="F1174" i="2"/>
  <c r="B1725" i="2"/>
  <c r="F1687" i="2"/>
  <c r="B1669" i="2"/>
  <c r="F1651" i="2"/>
  <c r="F1633" i="2"/>
  <c r="F1585" i="2"/>
  <c r="F1557" i="2"/>
  <c r="F1529" i="2"/>
  <c r="B1491" i="2"/>
  <c r="F1453" i="2"/>
  <c r="F1405" i="2"/>
  <c r="F1357" i="2"/>
  <c r="B1309" i="2"/>
  <c r="B1271" i="2"/>
  <c r="B1223" i="2"/>
  <c r="F1185" i="2"/>
  <c r="B1149" i="2"/>
  <c r="F1125" i="2"/>
  <c r="F1101" i="2"/>
  <c r="F1087" i="2"/>
  <c r="F1083" i="2"/>
  <c r="B1069" i="2"/>
  <c r="F1065" i="2"/>
  <c r="F1061" i="2"/>
  <c r="F1057" i="2"/>
  <c r="F1043" i="2"/>
  <c r="B1039" i="2"/>
  <c r="F1035" i="2"/>
  <c r="F1021" i="2"/>
  <c r="B1017" i="2"/>
  <c r="B1013" i="2"/>
  <c r="F999" i="2"/>
  <c r="B995" i="2"/>
  <c r="F981" i="2"/>
  <c r="F967" i="2"/>
  <c r="F963" i="2"/>
  <c r="B1702" i="2"/>
  <c r="F1684" i="2"/>
  <c r="B1656" i="2"/>
  <c r="F1638" i="2"/>
  <c r="B1610" i="2"/>
  <c r="B1572" i="2"/>
  <c r="B1544" i="2"/>
  <c r="F1516" i="2"/>
  <c r="B1478" i="2"/>
  <c r="B1430" i="2"/>
  <c r="B1382" i="2"/>
  <c r="B1334" i="2"/>
  <c r="F1286" i="2"/>
  <c r="B1258" i="2"/>
  <c r="F1210" i="2"/>
  <c r="B1162" i="2"/>
  <c r="B1138" i="2"/>
  <c r="B1124" i="2"/>
  <c r="B1089" i="2"/>
  <c r="B1085" i="2"/>
  <c r="B1081" i="2"/>
  <c r="B1065" i="2"/>
  <c r="B1060" i="2"/>
  <c r="B1042" i="2"/>
  <c r="B1024" i="2"/>
  <c r="B1016" i="2"/>
  <c r="B998" i="2"/>
  <c r="F980" i="2"/>
  <c r="B1066" i="2"/>
  <c r="B1055" i="2"/>
  <c r="B1037" i="2"/>
  <c r="B1019" i="2"/>
  <c r="B1011" i="2"/>
  <c r="B993" i="2"/>
  <c r="F964" i="2"/>
  <c r="B952" i="2"/>
  <c r="F947" i="2"/>
  <c r="F949" i="2"/>
  <c r="B1062" i="2"/>
  <c r="B1035" i="2"/>
  <c r="B999" i="2"/>
  <c r="B967" i="2"/>
  <c r="F952" i="2"/>
  <c r="B1036" i="2"/>
  <c r="B1057" i="2"/>
  <c r="F995" i="2"/>
  <c r="F950" i="2"/>
  <c r="F1737" i="2"/>
  <c r="F1713" i="2"/>
  <c r="F1689" i="2"/>
  <c r="F1685" i="2"/>
  <c r="F1671" i="2"/>
  <c r="F1667" i="2"/>
  <c r="F1653" i="2"/>
  <c r="F1639" i="2"/>
  <c r="F1635" i="2"/>
  <c r="B1621" i="2"/>
  <c r="F1597" i="2"/>
  <c r="F1573" i="2"/>
  <c r="F1559" i="2"/>
  <c r="F1545" i="2"/>
  <c r="B1531" i="2"/>
  <c r="F1517" i="2"/>
  <c r="B1503" i="2"/>
  <c r="B1479" i="2"/>
  <c r="B1465" i="2"/>
  <c r="B1441" i="2"/>
  <c r="F1417" i="2"/>
  <c r="B1393" i="2"/>
  <c r="F1369" i="2"/>
  <c r="F1345" i="2"/>
  <c r="F1321" i="2"/>
  <c r="F1297" i="2"/>
  <c r="B1283" i="2"/>
  <c r="F1259" i="2"/>
  <c r="B1245" i="2"/>
  <c r="F1211" i="2"/>
  <c r="F1187" i="2"/>
  <c r="F1173" i="2"/>
  <c r="B1713" i="2"/>
  <c r="B1685" i="2"/>
  <c r="B1667" i="2"/>
  <c r="B1639" i="2"/>
  <c r="F1621" i="2"/>
  <c r="B1573" i="2"/>
  <c r="B1545" i="2"/>
  <c r="B1517" i="2"/>
  <c r="F1479" i="2"/>
  <c r="F1441" i="2"/>
  <c r="F1393" i="2"/>
  <c r="B1345" i="2"/>
  <c r="B1297" i="2"/>
  <c r="B1259" i="2"/>
  <c r="B1211" i="2"/>
  <c r="B1173" i="2"/>
  <c r="F1138" i="2"/>
  <c r="F1124" i="2"/>
  <c r="F1100" i="2"/>
  <c r="F1086" i="2"/>
  <c r="F1082" i="2"/>
  <c r="F1068" i="2"/>
  <c r="F1064" i="2"/>
  <c r="F1060" i="2"/>
  <c r="F1056" i="2"/>
  <c r="F1042" i="2"/>
  <c r="F1038" i="2"/>
  <c r="F1024" i="2"/>
  <c r="F1020" i="2"/>
  <c r="F1016" i="2"/>
  <c r="F1012" i="2"/>
  <c r="F998" i="2"/>
  <c r="F994" i="2"/>
  <c r="B980" i="2"/>
  <c r="F966" i="2"/>
  <c r="B1738" i="2"/>
  <c r="B1690" i="2"/>
  <c r="B1672" i="2"/>
  <c r="B1654" i="2"/>
  <c r="B1636" i="2"/>
  <c r="F1598" i="2"/>
  <c r="B1560" i="2"/>
  <c r="B1532" i="2"/>
  <c r="B1504" i="2"/>
  <c r="B1466" i="2"/>
  <c r="B1418" i="2"/>
  <c r="B1370" i="2"/>
  <c r="B1322" i="2"/>
  <c r="B1284" i="2"/>
  <c r="B1256" i="2"/>
  <c r="B1198" i="2"/>
  <c r="F1161" i="2"/>
  <c r="B1137" i="2"/>
  <c r="B1113" i="2"/>
  <c r="F1088" i="2"/>
  <c r="B1084" i="2"/>
  <c r="B1080" i="2"/>
  <c r="B1064" i="2"/>
  <c r="B1058" i="2"/>
  <c r="B1040" i="2"/>
  <c r="B1022" i="2"/>
  <c r="B1014" i="2"/>
  <c r="B996" i="2"/>
  <c r="F979" i="2"/>
  <c r="B1043" i="2"/>
  <c r="F1017" i="2"/>
  <c r="B981" i="2"/>
  <c r="B951" i="2"/>
  <c r="B948" i="2"/>
  <c r="B982" i="2"/>
  <c r="F1013" i="2"/>
  <c r="B963" i="2"/>
  <c r="F1726" i="2"/>
  <c r="F1702" i="2"/>
  <c r="F1688" i="2"/>
  <c r="B1684" i="2"/>
  <c r="F1670" i="2"/>
  <c r="F1656" i="2"/>
  <c r="F1652" i="2"/>
  <c r="B1638" i="2"/>
  <c r="F1634" i="2"/>
  <c r="F1610" i="2"/>
  <c r="F1586" i="2"/>
  <c r="F1572" i="2"/>
  <c r="F1558" i="2"/>
  <c r="F1544" i="2"/>
  <c r="F1530" i="2"/>
  <c r="B1516" i="2"/>
  <c r="F1492" i="2"/>
  <c r="F1478" i="2"/>
  <c r="F1454" i="2"/>
  <c r="F1430" i="2"/>
  <c r="F1406" i="2"/>
  <c r="F1382" i="2"/>
  <c r="F1358" i="2"/>
  <c r="F1334" i="2"/>
  <c r="F1310" i="2"/>
  <c r="B1286" i="2"/>
  <c r="F1272" i="2"/>
  <c r="F1258" i="2"/>
  <c r="F1234" i="2"/>
  <c r="B1210" i="2"/>
  <c r="F1186" i="2"/>
  <c r="F1162" i="2"/>
  <c r="F1701" i="2"/>
  <c r="B1673" i="2"/>
  <c r="B1655" i="2"/>
  <c r="B1637" i="2"/>
  <c r="F1609" i="2"/>
  <c r="B1571" i="2"/>
  <c r="F1543" i="2"/>
  <c r="B1505" i="2"/>
  <c r="F1477" i="2"/>
  <c r="F1429" i="2"/>
  <c r="F1381" i="2"/>
  <c r="F1333" i="2"/>
  <c r="F1285" i="2"/>
  <c r="B1257" i="2"/>
  <c r="B1199" i="2"/>
  <c r="B1161" i="2"/>
  <c r="F1137" i="2"/>
  <c r="F1113" i="2"/>
  <c r="F1089" i="2"/>
  <c r="F1085" i="2"/>
  <c r="F1081" i="2"/>
  <c r="B1067" i="2"/>
  <c r="F1063" i="2"/>
  <c r="F1059" i="2"/>
  <c r="F1055" i="2"/>
  <c r="F1041" i="2"/>
  <c r="F1037" i="2"/>
  <c r="F1023" i="2"/>
  <c r="F1019" i="2"/>
  <c r="F1015" i="2"/>
  <c r="F1011" i="2"/>
  <c r="F997" i="2"/>
  <c r="F993" i="2"/>
  <c r="B979" i="2"/>
  <c r="F965" i="2"/>
  <c r="B1726" i="2"/>
  <c r="B1688" i="2"/>
  <c r="B1670" i="2"/>
  <c r="B1652" i="2"/>
  <c r="B1634" i="2"/>
  <c r="B1586" i="2"/>
  <c r="B1558" i="2"/>
  <c r="B1530" i="2"/>
  <c r="B1492" i="2"/>
  <c r="B1454" i="2"/>
  <c r="B1406" i="2"/>
  <c r="B1358" i="2"/>
  <c r="B1310" i="2"/>
  <c r="B1272" i="2"/>
  <c r="B1234" i="2"/>
  <c r="B1186" i="2"/>
  <c r="B1150" i="2"/>
  <c r="B1136" i="2"/>
  <c r="B1101" i="2"/>
  <c r="B1087" i="2"/>
  <c r="B1083" i="2"/>
  <c r="B1068" i="2"/>
  <c r="B1063" i="2"/>
  <c r="B1056" i="2"/>
  <c r="B1038" i="2"/>
  <c r="B1020" i="2"/>
  <c r="B1012" i="2"/>
  <c r="B994" i="2"/>
  <c r="F1112" i="2"/>
  <c r="B1059" i="2"/>
  <c r="B1041" i="2"/>
  <c r="B1023" i="2"/>
  <c r="B1015" i="2"/>
  <c r="B997" i="2"/>
  <c r="B978" i="2"/>
  <c r="B965" i="2"/>
  <c r="B950" i="2"/>
  <c r="F951" i="2"/>
  <c r="B947" i="2"/>
  <c r="B1298" i="2"/>
  <c r="B1174" i="2"/>
  <c r="B1100" i="2"/>
  <c r="B1082" i="2"/>
  <c r="F1067" i="2"/>
  <c r="B1044" i="2"/>
  <c r="B1010" i="2"/>
  <c r="F1039" i="2"/>
  <c r="B966" i="2"/>
  <c r="F948" i="2"/>
  <c r="F1114" i="2" l="1"/>
  <c r="F1151" i="2"/>
  <c r="F1163" i="2"/>
  <c r="F1213" i="2"/>
  <c r="F1493" i="2"/>
  <c r="F1519" i="2"/>
  <c r="F1691" i="2"/>
  <c r="F968" i="2"/>
  <c r="F983" i="2"/>
  <c r="F1000" i="2"/>
  <c r="F1025" i="2"/>
  <c r="F1045" i="2"/>
  <c r="F1070" i="2"/>
  <c r="F1090" i="2"/>
  <c r="F1102" i="2"/>
  <c r="F1126" i="2"/>
  <c r="F1139" i="2"/>
  <c r="F1188" i="2"/>
  <c r="F1246" i="2"/>
  <c r="F1287" i="2"/>
  <c r="F1335" i="2"/>
  <c r="F1359" i="2"/>
  <c r="F1383" i="2"/>
  <c r="F1395" i="2"/>
  <c r="F1407" i="2"/>
  <c r="F1431" i="2"/>
  <c r="F1443" i="2"/>
  <c r="F1455" i="2"/>
  <c r="F1467" i="2"/>
  <c r="F1480" i="2"/>
  <c r="F1506" i="2"/>
  <c r="F1533" i="2"/>
  <c r="F1547" i="2"/>
  <c r="F1561" i="2"/>
  <c r="F1587" i="2"/>
  <c r="F1611" i="2"/>
  <c r="F1623" i="2"/>
  <c r="F1640" i="2"/>
  <c r="F1703" i="2"/>
  <c r="F1175" i="2"/>
  <c r="F1200" i="2"/>
  <c r="F1224" i="2"/>
  <c r="F1235" i="2"/>
  <c r="F1260" i="2"/>
  <c r="F1273" i="2"/>
  <c r="F1299" i="2"/>
  <c r="F1311" i="2"/>
  <c r="F1323" i="2"/>
  <c r="F1347" i="2"/>
  <c r="F1371" i="2"/>
  <c r="F1419" i="2"/>
  <c r="F1575" i="2"/>
  <c r="F1599" i="2"/>
  <c r="F1657" i="2"/>
  <c r="F1674" i="2"/>
  <c r="F1715" i="2"/>
  <c r="F1727" i="2"/>
  <c r="F1739" i="2"/>
  <c r="F953" i="2"/>
  <c r="J937" i="2"/>
  <c r="I937" i="2"/>
  <c r="H937" i="2"/>
  <c r="C921" i="2"/>
  <c r="C919" i="2"/>
  <c r="J914" i="2"/>
  <c r="I914" i="2"/>
  <c r="H914" i="2"/>
  <c r="C898" i="2"/>
  <c r="C896" i="2"/>
  <c r="J891" i="2"/>
  <c r="I891" i="2"/>
  <c r="H891" i="2"/>
  <c r="C876" i="2"/>
  <c r="C874" i="2"/>
  <c r="J869" i="2"/>
  <c r="I869" i="2"/>
  <c r="H869" i="2"/>
  <c r="C853" i="2"/>
  <c r="C851" i="2"/>
  <c r="J846" i="2"/>
  <c r="I846" i="2"/>
  <c r="H846" i="2"/>
  <c r="C835" i="2"/>
  <c r="C833" i="2"/>
  <c r="J828" i="2"/>
  <c r="I828" i="2"/>
  <c r="H828" i="2"/>
  <c r="C815" i="2"/>
  <c r="C813" i="2"/>
  <c r="J808" i="2"/>
  <c r="I808" i="2"/>
  <c r="H808" i="2"/>
  <c r="C795" i="2"/>
  <c r="C793" i="2"/>
  <c r="J788" i="2"/>
  <c r="I788" i="2"/>
  <c r="H788" i="2"/>
  <c r="C773" i="2"/>
  <c r="C771" i="2"/>
  <c r="J766" i="2"/>
  <c r="I766" i="2"/>
  <c r="H766" i="2"/>
  <c r="C757" i="2"/>
  <c r="C755" i="2"/>
  <c r="J750" i="2"/>
  <c r="I750" i="2"/>
  <c r="H750" i="2"/>
  <c r="C741" i="2"/>
  <c r="C739" i="2"/>
  <c r="J734" i="2"/>
  <c r="I734" i="2"/>
  <c r="H734" i="2"/>
  <c r="C725" i="2"/>
  <c r="C723" i="2"/>
  <c r="J718" i="2"/>
  <c r="I718" i="2"/>
  <c r="H718" i="2"/>
  <c r="C708" i="2"/>
  <c r="C706" i="2"/>
  <c r="J701" i="2"/>
  <c r="I701" i="2"/>
  <c r="H701" i="2"/>
  <c r="C660" i="2"/>
  <c r="C658" i="2"/>
  <c r="J653" i="2"/>
  <c r="I653" i="2"/>
  <c r="H653" i="2"/>
  <c r="C611" i="2"/>
  <c r="C609" i="2"/>
  <c r="J604" i="2"/>
  <c r="I604" i="2"/>
  <c r="H604" i="2"/>
  <c r="C562" i="2"/>
  <c r="C560" i="2"/>
  <c r="J555" i="2" l="1"/>
  <c r="I555" i="2"/>
  <c r="H555" i="2"/>
  <c r="C512" i="2"/>
  <c r="C510" i="2"/>
  <c r="J505" i="2" l="1"/>
  <c r="I505" i="2"/>
  <c r="H505" i="2"/>
  <c r="C501" i="2"/>
  <c r="C499" i="2"/>
  <c r="J494" i="2"/>
  <c r="I494" i="2"/>
  <c r="H494" i="2"/>
  <c r="C489" i="2"/>
  <c r="C487" i="2"/>
  <c r="J482" i="2"/>
  <c r="I482" i="2"/>
  <c r="H482" i="2"/>
  <c r="C477" i="2"/>
  <c r="C475" i="2"/>
  <c r="J470" i="2"/>
  <c r="I470" i="2"/>
  <c r="H470" i="2"/>
  <c r="C462" i="2"/>
  <c r="C460" i="2"/>
  <c r="J455" i="2"/>
  <c r="I455" i="2"/>
  <c r="H455" i="2"/>
  <c r="C447" i="2"/>
  <c r="C445" i="2"/>
  <c r="J440" i="2"/>
  <c r="I440" i="2"/>
  <c r="H440" i="2"/>
  <c r="C430" i="2"/>
  <c r="C428" i="2"/>
  <c r="J423" i="2"/>
  <c r="I423" i="2"/>
  <c r="H423" i="2"/>
  <c r="C413" i="2"/>
  <c r="C411" i="2"/>
  <c r="J406" i="2"/>
  <c r="I406" i="2"/>
  <c r="H406" i="2"/>
  <c r="C392" i="2"/>
  <c r="C390" i="2"/>
  <c r="J385" i="2"/>
  <c r="I385" i="2"/>
  <c r="H385" i="2"/>
  <c r="C368" i="2"/>
  <c r="C366" i="2"/>
  <c r="J361" i="2"/>
  <c r="I361" i="2"/>
  <c r="H361" i="2"/>
  <c r="C339" i="2"/>
  <c r="C337" i="2"/>
  <c r="J332" i="2"/>
  <c r="I332" i="2"/>
  <c r="H332" i="2"/>
  <c r="C310" i="2"/>
  <c r="C308" i="2"/>
  <c r="J303" i="2"/>
  <c r="I303" i="2"/>
  <c r="H303" i="2"/>
  <c r="C280" i="2"/>
  <c r="C278" i="2"/>
  <c r="J273" i="2"/>
  <c r="I273" i="2"/>
  <c r="H273" i="2"/>
  <c r="C265" i="2"/>
  <c r="C263" i="2"/>
  <c r="J258" i="2"/>
  <c r="I258" i="2"/>
  <c r="H258" i="2"/>
  <c r="C250" i="2"/>
  <c r="C248" i="2"/>
  <c r="J243" i="2"/>
  <c r="I243" i="2"/>
  <c r="H243" i="2"/>
  <c r="C235" i="2"/>
  <c r="C233" i="2"/>
  <c r="J228" i="2"/>
  <c r="I228" i="2"/>
  <c r="H228" i="2"/>
  <c r="C220" i="2"/>
  <c r="C218" i="2"/>
  <c r="J213" i="2" l="1"/>
  <c r="I213" i="2"/>
  <c r="H213" i="2"/>
  <c r="C203" i="2"/>
  <c r="C201" i="2"/>
  <c r="J196" i="2"/>
  <c r="I196" i="2"/>
  <c r="H196" i="2"/>
  <c r="C186" i="2"/>
  <c r="C184" i="2"/>
  <c r="J179" i="2"/>
  <c r="I179" i="2"/>
  <c r="H179" i="2"/>
  <c r="C169" i="2"/>
  <c r="C167" i="2"/>
  <c r="J162" i="2"/>
  <c r="I162" i="2"/>
  <c r="H162"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B935" i="2"/>
  <c r="B927" i="2"/>
  <c r="B909" i="2"/>
  <c r="B901" i="2"/>
  <c r="B883" i="2"/>
  <c r="B865" i="2"/>
  <c r="B857" i="2"/>
  <c r="B839" i="2"/>
  <c r="B821" i="2"/>
  <c r="B803" i="2"/>
  <c r="B785" i="2"/>
  <c r="B777" i="2"/>
  <c r="B749" i="2"/>
  <c r="B731" i="2"/>
  <c r="F713" i="2"/>
  <c r="B651" i="2"/>
  <c r="F930" i="2"/>
  <c r="F912" i="2"/>
  <c r="F904" i="2"/>
  <c r="F886" i="2"/>
  <c r="F868" i="2"/>
  <c r="F860" i="2"/>
  <c r="F842" i="2"/>
  <c r="F824" i="2"/>
  <c r="F806" i="2"/>
  <c r="F798" i="2"/>
  <c r="F780" i="2"/>
  <c r="F762" i="2"/>
  <c r="F744" i="2"/>
  <c r="F699" i="2"/>
  <c r="F694" i="2"/>
  <c r="B686" i="2"/>
  <c r="B936" i="2"/>
  <c r="B928" i="2"/>
  <c r="B910" i="2"/>
  <c r="B902" i="2"/>
  <c r="B884" i="2"/>
  <c r="B866" i="2"/>
  <c r="B858" i="2"/>
  <c r="B840" i="2"/>
  <c r="B822" i="2"/>
  <c r="B804" i="2"/>
  <c r="B786" i="2"/>
  <c r="B778" i="2"/>
  <c r="B760" i="2"/>
  <c r="B732" i="2"/>
  <c r="B714" i="2"/>
  <c r="B652" i="2"/>
  <c r="F931" i="2"/>
  <c r="F913" i="2"/>
  <c r="F905" i="2"/>
  <c r="F887" i="2"/>
  <c r="F879" i="2"/>
  <c r="F861" i="2"/>
  <c r="F843" i="2"/>
  <c r="F825" i="2"/>
  <c r="F807" i="2"/>
  <c r="F799" i="2"/>
  <c r="F781" i="2"/>
  <c r="B763" i="2"/>
  <c r="F745" i="2"/>
  <c r="B711" i="2"/>
  <c r="B695" i="2"/>
  <c r="F687" i="2"/>
  <c r="F678" i="2"/>
  <c r="F670" i="2"/>
  <c r="F647" i="2"/>
  <c r="F639" i="2"/>
  <c r="F631" i="2"/>
  <c r="F623" i="2"/>
  <c r="F615" i="2"/>
  <c r="B596" i="2"/>
  <c r="F588" i="2"/>
  <c r="F580" i="2"/>
  <c r="F572" i="2"/>
  <c r="F732" i="2"/>
  <c r="F652" i="2"/>
  <c r="B693" i="2"/>
  <c r="B685" i="2"/>
  <c r="B677" i="2"/>
  <c r="B669" i="2"/>
  <c r="B646" i="2"/>
  <c r="B638" i="2"/>
  <c r="B630" i="2"/>
  <c r="B622" i="2"/>
  <c r="B602" i="2"/>
  <c r="B590" i="2"/>
  <c r="B574" i="2"/>
  <c r="B593" i="2"/>
  <c r="B577" i="2"/>
  <c r="B553" i="2"/>
  <c r="B545" i="2"/>
  <c r="B537" i="2"/>
  <c r="B529" i="2"/>
  <c r="B521" i="2"/>
  <c r="F550" i="2"/>
  <c r="B933" i="2"/>
  <c r="B925" i="2"/>
  <c r="F907" i="2"/>
  <c r="B889" i="2"/>
  <c r="B881" i="2"/>
  <c r="B863" i="2"/>
  <c r="B845" i="2"/>
  <c r="B827" i="2"/>
  <c r="B819" i="2"/>
  <c r="B801" i="2"/>
  <c r="B783" i="2"/>
  <c r="F765" i="2"/>
  <c r="B747" i="2"/>
  <c r="B729" i="2"/>
  <c r="F711" i="2"/>
  <c r="F936" i="2"/>
  <c r="F928" i="2"/>
  <c r="F910" i="2"/>
  <c r="F902" i="2"/>
  <c r="F884" i="2"/>
  <c r="F866" i="2"/>
  <c r="F858" i="2"/>
  <c r="F840" i="2"/>
  <c r="F822" i="2"/>
  <c r="F804" i="2"/>
  <c r="F786" i="2"/>
  <c r="F778" i="2"/>
  <c r="F760" i="2"/>
  <c r="F731" i="2"/>
  <c r="F651" i="2"/>
  <c r="F692" i="2"/>
  <c r="F684" i="2"/>
  <c r="F934" i="2"/>
  <c r="B926" i="2"/>
  <c r="B908" i="2"/>
  <c r="F890" i="2"/>
  <c r="B882" i="2"/>
  <c r="B864" i="2"/>
  <c r="B856" i="2"/>
  <c r="F838" i="2"/>
  <c r="B820" i="2"/>
  <c r="B802" i="2"/>
  <c r="B784" i="2"/>
  <c r="B776" i="2"/>
  <c r="B748" i="2"/>
  <c r="B730" i="2"/>
  <c r="F712" i="2"/>
  <c r="B650" i="2"/>
  <c r="F929" i="2"/>
  <c r="F911" i="2"/>
  <c r="F903" i="2"/>
  <c r="F885" i="2"/>
  <c r="F867" i="2"/>
  <c r="F859" i="2"/>
  <c r="F841" i="2"/>
  <c r="F823" i="2"/>
  <c r="F805" i="2"/>
  <c r="F787" i="2"/>
  <c r="F779" i="2"/>
  <c r="F761" i="2"/>
  <c r="F733" i="2"/>
  <c r="F697" i="2"/>
  <c r="F693" i="2"/>
  <c r="F685" i="2"/>
  <c r="B676" i="2"/>
  <c r="F668" i="2"/>
  <c r="F645" i="2"/>
  <c r="B637" i="2"/>
  <c r="F629" i="2"/>
  <c r="F621" i="2"/>
  <c r="F602" i="2"/>
  <c r="F594" i="2"/>
  <c r="F586" i="2"/>
  <c r="F578" i="2"/>
  <c r="F570" i="2"/>
  <c r="B728" i="2"/>
  <c r="F649" i="2"/>
  <c r="B691" i="2"/>
  <c r="B683" i="2"/>
  <c r="F675" i="2"/>
  <c r="B667" i="2"/>
  <c r="B644" i="2"/>
  <c r="B636" i="2"/>
  <c r="B628" i="2"/>
  <c r="B619" i="2"/>
  <c r="B599" i="2"/>
  <c r="B586" i="2"/>
  <c r="B570" i="2"/>
  <c r="B589" i="2"/>
  <c r="B573" i="2"/>
  <c r="B551" i="2"/>
  <c r="B543" i="2"/>
  <c r="B535" i="2"/>
  <c r="B527" i="2"/>
  <c r="B518" i="2"/>
  <c r="F548" i="2"/>
  <c r="B931" i="2"/>
  <c r="B913" i="2"/>
  <c r="B905" i="2"/>
  <c r="B887" i="2"/>
  <c r="B879" i="2"/>
  <c r="B861" i="2"/>
  <c r="B843" i="2"/>
  <c r="B825" i="2"/>
  <c r="B807" i="2"/>
  <c r="B799" i="2"/>
  <c r="B781" i="2"/>
  <c r="F763" i="2"/>
  <c r="B745" i="2"/>
  <c r="B717" i="2"/>
  <c r="B699" i="2"/>
  <c r="B934" i="2"/>
  <c r="F926" i="2"/>
  <c r="F908" i="2"/>
  <c r="B890" i="2"/>
  <c r="F882" i="2"/>
  <c r="F864" i="2"/>
  <c r="F856" i="2"/>
  <c r="B838" i="2"/>
  <c r="F820" i="2"/>
  <c r="F802" i="2"/>
  <c r="F784" i="2"/>
  <c r="F776" i="2"/>
  <c r="F748" i="2"/>
  <c r="F717" i="2"/>
  <c r="F648" i="2"/>
  <c r="F690" i="2"/>
  <c r="F682" i="2"/>
  <c r="B932" i="2"/>
  <c r="B924" i="2"/>
  <c r="B906" i="2"/>
  <c r="B888" i="2"/>
  <c r="B880" i="2"/>
  <c r="B862" i="2"/>
  <c r="B844" i="2"/>
  <c r="B826" i="2"/>
  <c r="B818" i="2"/>
  <c r="B800" i="2"/>
  <c r="B782" i="2"/>
  <c r="B764" i="2"/>
  <c r="B746" i="2"/>
  <c r="F728" i="2"/>
  <c r="B700" i="2"/>
  <c r="F935" i="2"/>
  <c r="F927" i="2"/>
  <c r="F909" i="2"/>
  <c r="F901" i="2"/>
  <c r="F883" i="2"/>
  <c r="F865" i="2"/>
  <c r="F857" i="2"/>
  <c r="F839" i="2"/>
  <c r="F821" i="2"/>
  <c r="F803" i="2"/>
  <c r="F785" i="2"/>
  <c r="F777" i="2"/>
  <c r="F749" i="2"/>
  <c r="F729" i="2"/>
  <c r="B649" i="2"/>
  <c r="F691" i="2"/>
  <c r="F683" i="2"/>
  <c r="F674" i="2"/>
  <c r="F666" i="2"/>
  <c r="F643" i="2"/>
  <c r="B635" i="2"/>
  <c r="F627" i="2"/>
  <c r="F619" i="2"/>
  <c r="F600" i="2"/>
  <c r="F592" i="2"/>
  <c r="F584" i="2"/>
  <c r="F576" i="2"/>
  <c r="F568" i="2"/>
  <c r="F714" i="2"/>
  <c r="B603" i="2"/>
  <c r="B689" i="2"/>
  <c r="B681" i="2"/>
  <c r="B673" i="2"/>
  <c r="B665" i="2"/>
  <c r="B642" i="2"/>
  <c r="B634" i="2"/>
  <c r="B626" i="2"/>
  <c r="B617" i="2"/>
  <c r="F597" i="2"/>
  <c r="B582" i="2"/>
  <c r="B566" i="2"/>
  <c r="B585" i="2"/>
  <c r="B569" i="2"/>
  <c r="B549" i="2"/>
  <c r="B541" i="2"/>
  <c r="B533" i="2"/>
  <c r="B525" i="2"/>
  <c r="F554" i="2"/>
  <c r="B546" i="2"/>
  <c r="F538" i="2"/>
  <c r="F530" i="2"/>
  <c r="F522" i="2"/>
  <c r="F677" i="2"/>
  <c r="F669" i="2"/>
  <c r="F646" i="2"/>
  <c r="F638" i="2"/>
  <c r="F630" i="2"/>
  <c r="F622" i="2"/>
  <c r="F614" i="2"/>
  <c r="F595" i="2"/>
  <c r="F587" i="2"/>
  <c r="F579" i="2"/>
  <c r="B571" i="2"/>
  <c r="F730" i="2"/>
  <c r="F650" i="2"/>
  <c r="B692" i="2"/>
  <c r="B684" i="2"/>
  <c r="F676" i="2"/>
  <c r="B668" i="2"/>
  <c r="B645" i="2"/>
  <c r="F637" i="2"/>
  <c r="B629" i="2"/>
  <c r="B621" i="2"/>
  <c r="F601" i="2"/>
  <c r="B588" i="2"/>
  <c r="B572" i="2"/>
  <c r="B591" i="2"/>
  <c r="B575" i="2"/>
  <c r="F552" i="2"/>
  <c r="B544" i="2"/>
  <c r="B929" i="2"/>
  <c r="B911" i="2"/>
  <c r="B903" i="2"/>
  <c r="B885" i="2"/>
  <c r="B867" i="2"/>
  <c r="B859" i="2"/>
  <c r="B841" i="2"/>
  <c r="B823" i="2"/>
  <c r="B805" i="2"/>
  <c r="B787" i="2"/>
  <c r="B779" i="2"/>
  <c r="B761" i="2"/>
  <c r="B733" i="2"/>
  <c r="B715" i="2"/>
  <c r="B697" i="2"/>
  <c r="F932" i="2"/>
  <c r="F924" i="2"/>
  <c r="F906" i="2"/>
  <c r="F888" i="2"/>
  <c r="F880" i="2"/>
  <c r="F862" i="2"/>
  <c r="F844" i="2"/>
  <c r="F826" i="2"/>
  <c r="F818" i="2"/>
  <c r="F800" i="2"/>
  <c r="F782" i="2"/>
  <c r="F764" i="2"/>
  <c r="F746" i="2"/>
  <c r="B713" i="2"/>
  <c r="F696" i="2"/>
  <c r="F688" i="2"/>
  <c r="F680" i="2"/>
  <c r="B930" i="2"/>
  <c r="B912" i="2"/>
  <c r="B904" i="2"/>
  <c r="B886" i="2"/>
  <c r="B868" i="2"/>
  <c r="B860" i="2"/>
  <c r="B842" i="2"/>
  <c r="B824" i="2"/>
  <c r="B806" i="2"/>
  <c r="B798" i="2"/>
  <c r="B780" i="2"/>
  <c r="B762" i="2"/>
  <c r="B744" i="2"/>
  <c r="B716" i="2"/>
  <c r="B698" i="2"/>
  <c r="F933" i="2"/>
  <c r="F925" i="2"/>
  <c r="B907" i="2"/>
  <c r="F889" i="2"/>
  <c r="F881" i="2"/>
  <c r="F863" i="2"/>
  <c r="F845" i="2"/>
  <c r="F827" i="2"/>
  <c r="F819" i="2"/>
  <c r="F801" i="2"/>
  <c r="F783" i="2"/>
  <c r="B765" i="2"/>
  <c r="F747" i="2"/>
  <c r="F715" i="2"/>
  <c r="F603" i="2"/>
  <c r="F689" i="2"/>
  <c r="F681" i="2"/>
  <c r="F672" i="2"/>
  <c r="F664" i="2"/>
  <c r="F641" i="2"/>
  <c r="B633" i="2"/>
  <c r="F625" i="2"/>
  <c r="F617" i="2"/>
  <c r="F598" i="2"/>
  <c r="F590" i="2"/>
  <c r="F582" i="2"/>
  <c r="F574" i="2"/>
  <c r="F566" i="2"/>
  <c r="F700" i="2"/>
  <c r="F695" i="2"/>
  <c r="B687" i="2"/>
  <c r="B679" i="2"/>
  <c r="B671" i="2"/>
  <c r="B663" i="2"/>
  <c r="B640" i="2"/>
  <c r="B632" i="2"/>
  <c r="B624" i="2"/>
  <c r="B615" i="2"/>
  <c r="B594" i="2"/>
  <c r="B578" i="2"/>
  <c r="B600" i="2"/>
  <c r="B581" i="2"/>
  <c r="B565" i="2"/>
  <c r="B547" i="2"/>
  <c r="B539" i="2"/>
  <c r="B531" i="2"/>
  <c r="B523" i="2"/>
  <c r="B552" i="2"/>
  <c r="F544" i="2"/>
  <c r="F536" i="2"/>
  <c r="B528" i="2"/>
  <c r="F518" i="2"/>
  <c r="B675" i="2"/>
  <c r="F667" i="2"/>
  <c r="F644" i="2"/>
  <c r="F636" i="2"/>
  <c r="F628" i="2"/>
  <c r="B620" i="2"/>
  <c r="B601" i="2"/>
  <c r="F593" i="2"/>
  <c r="F585" i="2"/>
  <c r="F577" i="2"/>
  <c r="F569" i="2"/>
  <c r="F716" i="2"/>
  <c r="B648" i="2"/>
  <c r="B690" i="2"/>
  <c r="B682" i="2"/>
  <c r="B674" i="2"/>
  <c r="B666" i="2"/>
  <c r="B643" i="2"/>
  <c r="F635" i="2"/>
  <c r="B627" i="2"/>
  <c r="B618" i="2"/>
  <c r="B598" i="2"/>
  <c r="B584" i="2"/>
  <c r="B568" i="2"/>
  <c r="B587" i="2"/>
  <c r="F571" i="2"/>
  <c r="B550" i="2"/>
  <c r="B542" i="2"/>
  <c r="F542" i="2"/>
  <c r="F526" i="2"/>
  <c r="F673" i="2"/>
  <c r="F642" i="2"/>
  <c r="F626" i="2"/>
  <c r="F599" i="2"/>
  <c r="F583" i="2"/>
  <c r="F567" i="2"/>
  <c r="B696" i="2"/>
  <c r="B680" i="2"/>
  <c r="B664" i="2"/>
  <c r="F633" i="2"/>
  <c r="B616" i="2"/>
  <c r="B580" i="2"/>
  <c r="B583" i="2"/>
  <c r="B548" i="2"/>
  <c r="B536" i="2"/>
  <c r="F528" i="2"/>
  <c r="B520" i="2"/>
  <c r="F549" i="2"/>
  <c r="F541" i="2"/>
  <c r="F525" i="2"/>
  <c r="F515" i="2"/>
  <c r="B540" i="2"/>
  <c r="F524" i="2"/>
  <c r="F671" i="2"/>
  <c r="F640" i="2"/>
  <c r="F624" i="2"/>
  <c r="B597" i="2"/>
  <c r="F581" i="2"/>
  <c r="F565" i="2"/>
  <c r="B694" i="2"/>
  <c r="B678" i="2"/>
  <c r="B647" i="2"/>
  <c r="B631" i="2"/>
  <c r="B614" i="2"/>
  <c r="B576" i="2"/>
  <c r="B579" i="2"/>
  <c r="F546" i="2"/>
  <c r="B534" i="2"/>
  <c r="B526" i="2"/>
  <c r="B516" i="2"/>
  <c r="F547" i="2"/>
  <c r="F539" i="2"/>
  <c r="F531" i="2"/>
  <c r="F534" i="2"/>
  <c r="B519" i="2"/>
  <c r="F665" i="2"/>
  <c r="F634" i="2"/>
  <c r="F618" i="2"/>
  <c r="F591" i="2"/>
  <c r="F575" i="2"/>
  <c r="B712" i="2"/>
  <c r="B688" i="2"/>
  <c r="B672" i="2"/>
  <c r="B641" i="2"/>
  <c r="B625" i="2"/>
  <c r="B595" i="2"/>
  <c r="F620" i="2"/>
  <c r="B567" i="2"/>
  <c r="F540" i="2"/>
  <c r="B532" i="2"/>
  <c r="B524" i="2"/>
  <c r="F553" i="2"/>
  <c r="F545" i="2"/>
  <c r="F537" i="2"/>
  <c r="F529" i="2"/>
  <c r="F521" i="2"/>
  <c r="B517" i="2"/>
  <c r="F517" i="2"/>
  <c r="F523" i="2"/>
  <c r="F532" i="2"/>
  <c r="F679" i="2"/>
  <c r="F663" i="2"/>
  <c r="F632" i="2"/>
  <c r="F616" i="2"/>
  <c r="F589" i="2"/>
  <c r="F573" i="2"/>
  <c r="F698" i="2"/>
  <c r="F686" i="2"/>
  <c r="B670" i="2"/>
  <c r="B639" i="2"/>
  <c r="B623" i="2"/>
  <c r="B592" i="2"/>
  <c r="F596" i="2"/>
  <c r="B554" i="2"/>
  <c r="B538" i="2"/>
  <c r="B530" i="2"/>
  <c r="B522" i="2"/>
  <c r="F551" i="2"/>
  <c r="F543" i="2"/>
  <c r="F535" i="2"/>
  <c r="F527" i="2"/>
  <c r="F519" i="2"/>
  <c r="F520" i="2"/>
  <c r="F533" i="2"/>
  <c r="F516" i="2"/>
  <c r="B515" i="2"/>
  <c r="F701" i="2" l="1"/>
  <c r="F604" i="2"/>
  <c r="F555" i="2"/>
  <c r="F828" i="2"/>
  <c r="F937" i="2"/>
  <c r="F653" i="2"/>
  <c r="F914" i="2"/>
  <c r="F734" i="2"/>
  <c r="F788" i="2"/>
  <c r="F869" i="2"/>
  <c r="F846" i="2"/>
  <c r="F766" i="2"/>
  <c r="F718" i="2"/>
  <c r="F891" i="2"/>
  <c r="F750" i="2"/>
  <c r="F808" i="2"/>
  <c r="J57" i="2"/>
  <c r="I57" i="2"/>
  <c r="H57" i="2"/>
  <c r="C53" i="2"/>
  <c r="C51" i="2"/>
  <c r="J46" i="2"/>
  <c r="I46" i="2"/>
  <c r="H46" i="2"/>
  <c r="C42" i="2"/>
  <c r="C40" i="2"/>
  <c r="J35" i="2"/>
  <c r="I35" i="2"/>
  <c r="H35" i="2"/>
  <c r="C31" i="2"/>
  <c r="C29" i="2"/>
  <c r="J10" i="5"/>
  <c r="I10" i="5"/>
  <c r="H10" i="5"/>
  <c r="C6" i="5"/>
  <c r="C4" i="5"/>
  <c r="J24" i="2"/>
  <c r="I24" i="2"/>
  <c r="H24" i="2"/>
  <c r="C20" i="2"/>
  <c r="C18" i="2"/>
  <c r="B3" i="2"/>
  <c r="C14" i="1"/>
  <c r="C13" i="1"/>
  <c r="C12" i="1"/>
  <c r="C11" i="1"/>
  <c r="C10" i="1"/>
  <c r="C9" i="1"/>
  <c r="F504" i="2"/>
  <c r="F438" i="2"/>
  <c r="F402" i="2"/>
  <c r="F376" i="2"/>
  <c r="F350" i="2"/>
  <c r="F324" i="2"/>
  <c r="F298" i="2"/>
  <c r="F272" i="2"/>
  <c r="B465" i="2"/>
  <c r="B419" i="2"/>
  <c r="B383" i="2"/>
  <c r="B357" i="2"/>
  <c r="B330" i="2"/>
  <c r="F288" i="2"/>
  <c r="B224" i="2"/>
  <c r="F297" i="2"/>
  <c r="F469" i="2"/>
  <c r="F433" i="2"/>
  <c r="F397" i="2"/>
  <c r="F371" i="2"/>
  <c r="F345" i="2"/>
  <c r="F319" i="2"/>
  <c r="F293" i="2"/>
  <c r="F257" i="2"/>
  <c r="F450" i="2"/>
  <c r="B404" i="2"/>
  <c r="B378" i="2"/>
  <c r="B352" i="2"/>
  <c r="B320" i="2"/>
  <c r="B268" i="2"/>
  <c r="B329" i="2"/>
  <c r="B287" i="2"/>
  <c r="F225" i="2"/>
  <c r="F172" i="2"/>
  <c r="B211" i="2"/>
  <c r="F212" i="2"/>
  <c r="B100" i="2"/>
  <c r="F144" i="2"/>
  <c r="F190" i="2"/>
  <c r="B194" i="2"/>
  <c r="F157" i="2"/>
  <c r="B133" i="2"/>
  <c r="F34" i="2"/>
  <c r="F9" i="5"/>
  <c r="B450" i="2"/>
  <c r="F404" i="2"/>
  <c r="F378" i="2"/>
  <c r="F352" i="2"/>
  <c r="F326" i="2"/>
  <c r="F300" i="2"/>
  <c r="B284" i="2"/>
  <c r="B467" i="2"/>
  <c r="B421" i="2"/>
  <c r="B395" i="2"/>
  <c r="B359" i="2"/>
  <c r="F343" i="2"/>
  <c r="B292" i="2"/>
  <c r="B226" i="2"/>
  <c r="B301" i="2"/>
  <c r="F481" i="2"/>
  <c r="F435" i="2"/>
  <c r="F399" i="2"/>
  <c r="F373" i="2"/>
  <c r="F347" i="2"/>
  <c r="F321" i="2"/>
  <c r="F295" i="2"/>
  <c r="F269" i="2"/>
  <c r="B452" i="2"/>
  <c r="F416" i="2"/>
  <c r="B380" i="2"/>
  <c r="B354" i="2"/>
  <c r="B324" i="2"/>
  <c r="B272" i="2"/>
  <c r="F223" i="2"/>
  <c r="B291" i="2"/>
  <c r="F227" i="2"/>
  <c r="B161" i="2"/>
  <c r="F133" i="2"/>
  <c r="B238" i="2"/>
  <c r="B144" i="2"/>
  <c r="B206" i="2"/>
  <c r="F194" i="2"/>
  <c r="B209" i="2"/>
  <c r="F176" i="2"/>
  <c r="B177" i="2"/>
  <c r="F155" i="2"/>
  <c r="B23" i="2"/>
  <c r="B302" i="2"/>
  <c r="B242" i="2"/>
  <c r="B321" i="2"/>
  <c r="B269" i="2"/>
  <c r="F191" i="2"/>
  <c r="B158" i="2"/>
  <c r="B67" i="2"/>
  <c r="F193" i="2"/>
  <c r="B208" i="2"/>
  <c r="B192" i="2"/>
  <c r="F160" i="2"/>
  <c r="B156" i="2"/>
  <c r="B210" i="2"/>
  <c r="F173" i="2"/>
  <c r="F45" i="2"/>
  <c r="F492" i="2"/>
  <c r="F436" i="2"/>
  <c r="F400" i="2"/>
  <c r="F374" i="2"/>
  <c r="F348" i="2"/>
  <c r="F322" i="2"/>
  <c r="F296" i="2"/>
  <c r="F270" i="2"/>
  <c r="B453" i="2"/>
  <c r="B417" i="2"/>
  <c r="B381" i="2"/>
  <c r="B355" i="2"/>
  <c r="B326" i="2"/>
  <c r="F284" i="2"/>
  <c r="F238" i="2"/>
  <c r="B293" i="2"/>
  <c r="F467" i="2"/>
  <c r="F421" i="2"/>
  <c r="F395" i="2"/>
  <c r="F359" i="2"/>
  <c r="B343" i="2"/>
  <c r="F317" i="2"/>
  <c r="F291" i="2"/>
  <c r="B504" i="2"/>
  <c r="B438" i="2"/>
  <c r="F480" i="2"/>
  <c r="F434" i="2"/>
  <c r="F398" i="2"/>
  <c r="F372" i="2"/>
  <c r="F346" i="2"/>
  <c r="F320" i="2"/>
  <c r="F294" i="2"/>
  <c r="F268" i="2"/>
  <c r="B451" i="2"/>
  <c r="B405" i="2"/>
  <c r="B379" i="2"/>
  <c r="B353" i="2"/>
  <c r="B322" i="2"/>
  <c r="B270" i="2"/>
  <c r="B331" i="2"/>
  <c r="B289" i="2"/>
  <c r="F465" i="2"/>
  <c r="F419" i="2"/>
  <c r="F383" i="2"/>
  <c r="F357" i="2"/>
  <c r="F331" i="2"/>
  <c r="F315" i="2"/>
  <c r="F289" i="2"/>
  <c r="B492" i="2"/>
  <c r="B436" i="2"/>
  <c r="B400" i="2"/>
  <c r="B374" i="2"/>
  <c r="B348" i="2"/>
  <c r="F466" i="2"/>
  <c r="F420" i="2"/>
  <c r="F384" i="2"/>
  <c r="F358" i="2"/>
  <c r="F342" i="2"/>
  <c r="B316" i="2"/>
  <c r="F290" i="2"/>
  <c r="B493" i="2"/>
  <c r="B437" i="2"/>
  <c r="F401" i="2"/>
  <c r="B375" i="2"/>
  <c r="B349" i="2"/>
  <c r="B314" i="2"/>
  <c r="B254" i="2"/>
  <c r="F323" i="2"/>
  <c r="F354" i="2"/>
  <c r="B469" i="2"/>
  <c r="B345" i="2"/>
  <c r="B271" i="2"/>
  <c r="F405" i="2"/>
  <c r="F353" i="2"/>
  <c r="F301" i="2"/>
  <c r="B468" i="2"/>
  <c r="B396" i="2"/>
  <c r="B344" i="2"/>
  <c r="B227" i="2"/>
  <c r="F242" i="2"/>
  <c r="F207" i="2"/>
  <c r="F174" i="2"/>
  <c r="B189" i="2"/>
  <c r="F253" i="2"/>
  <c r="F89" i="2"/>
  <c r="F468" i="2"/>
  <c r="F396" i="2"/>
  <c r="F344" i="2"/>
  <c r="F292" i="2"/>
  <c r="B439" i="2"/>
  <c r="B377" i="2"/>
  <c r="B318" i="2"/>
  <c r="B327" i="2"/>
  <c r="F453" i="2"/>
  <c r="F381" i="2"/>
  <c r="F329" i="2"/>
  <c r="F287" i="2"/>
  <c r="B434" i="2"/>
  <c r="B384" i="2"/>
  <c r="B350" i="2"/>
  <c r="B298" i="2"/>
  <c r="B225" i="2"/>
  <c r="B283" i="2"/>
  <c r="F161" i="2"/>
  <c r="F177" i="2"/>
  <c r="F208" i="2"/>
  <c r="B193" i="2"/>
  <c r="B89" i="2"/>
  <c r="B175" i="2"/>
  <c r="B195" i="2"/>
  <c r="B207" i="2"/>
  <c r="F23" i="2"/>
  <c r="B290" i="2"/>
  <c r="B325" i="2"/>
  <c r="F255" i="2"/>
  <c r="B78" i="2"/>
  <c r="B160" i="2"/>
  <c r="F178" i="2"/>
  <c r="B174" i="2"/>
  <c r="F175" i="2"/>
  <c r="B111" i="2"/>
  <c r="B157" i="2"/>
  <c r="B34" i="2"/>
  <c r="B313" i="2"/>
  <c r="B402" i="2"/>
  <c r="B342" i="2"/>
  <c r="B317" i="2"/>
  <c r="F78" i="2"/>
  <c r="F159" i="2"/>
  <c r="F100" i="2"/>
  <c r="F192" i="2"/>
  <c r="F380" i="2"/>
  <c r="B315" i="2"/>
  <c r="F375" i="2"/>
  <c r="F271" i="2"/>
  <c r="B356" i="2"/>
  <c r="B295" i="2"/>
  <c r="B159" i="2"/>
  <c r="B122" i="2"/>
  <c r="F418" i="2"/>
  <c r="B481" i="2"/>
  <c r="B241" i="2"/>
  <c r="F403" i="2"/>
  <c r="B466" i="2"/>
  <c r="B358" i="2"/>
  <c r="B240" i="2"/>
  <c r="B223" i="2"/>
  <c r="F226" i="2"/>
  <c r="B212" i="2"/>
  <c r="F122" i="2"/>
  <c r="F56" i="2"/>
  <c r="F452" i="2"/>
  <c r="F328" i="2"/>
  <c r="B433" i="2"/>
  <c r="B296" i="2"/>
  <c r="F493" i="2"/>
  <c r="B401" i="2"/>
  <c r="F349" i="2"/>
  <c r="B297" i="2"/>
  <c r="B454" i="2"/>
  <c r="B382" i="2"/>
  <c r="B328" i="2"/>
  <c r="B253" i="2"/>
  <c r="F240" i="2"/>
  <c r="F158" i="2"/>
  <c r="F206" i="2"/>
  <c r="F209" i="2"/>
  <c r="F195" i="2"/>
  <c r="B190" i="2"/>
  <c r="F454" i="2"/>
  <c r="F382" i="2"/>
  <c r="F330" i="2"/>
  <c r="B288" i="2"/>
  <c r="B435" i="2"/>
  <c r="B373" i="2"/>
  <c r="B300" i="2"/>
  <c r="B319" i="2"/>
  <c r="F439" i="2"/>
  <c r="F377" i="2"/>
  <c r="F325" i="2"/>
  <c r="F283" i="2"/>
  <c r="B420" i="2"/>
  <c r="B376" i="2"/>
  <c r="B346" i="2"/>
  <c r="B416" i="2"/>
  <c r="F302" i="2"/>
  <c r="B397" i="2"/>
  <c r="B239" i="2"/>
  <c r="F451" i="2"/>
  <c r="F379" i="2"/>
  <c r="F327" i="2"/>
  <c r="F285" i="2"/>
  <c r="B422" i="2"/>
  <c r="B360" i="2"/>
  <c r="B294" i="2"/>
  <c r="F313" i="2"/>
  <c r="B172" i="2"/>
  <c r="F239" i="2"/>
  <c r="B178" i="2"/>
  <c r="B155" i="2"/>
  <c r="B176" i="2"/>
  <c r="B9" i="5"/>
  <c r="F422" i="2"/>
  <c r="F360" i="2"/>
  <c r="F318" i="2"/>
  <c r="F256" i="2"/>
  <c r="B403" i="2"/>
  <c r="B351" i="2"/>
  <c r="B256" i="2"/>
  <c r="B285" i="2"/>
  <c r="F417" i="2"/>
  <c r="F355" i="2"/>
  <c r="B480" i="2"/>
  <c r="B372" i="2"/>
  <c r="B255" i="2"/>
  <c r="F254" i="2"/>
  <c r="F241" i="2"/>
  <c r="F156" i="2"/>
  <c r="F210" i="2"/>
  <c r="B45" i="2"/>
  <c r="F286" i="2"/>
  <c r="B371" i="2"/>
  <c r="F437" i="2"/>
  <c r="B323" i="2"/>
  <c r="B418" i="2"/>
  <c r="B286" i="2"/>
  <c r="B191" i="2"/>
  <c r="F224" i="2"/>
  <c r="F67" i="2"/>
  <c r="B56" i="2"/>
  <c r="F356" i="2"/>
  <c r="F314" i="2"/>
  <c r="B399" i="2"/>
  <c r="B347" i="2"/>
  <c r="B257" i="2"/>
  <c r="F351" i="2"/>
  <c r="F299" i="2"/>
  <c r="B398" i="2"/>
  <c r="F316" i="2"/>
  <c r="B299" i="2"/>
  <c r="F211" i="2"/>
  <c r="B173" i="2"/>
  <c r="F111" i="2"/>
  <c r="F189" i="2"/>
  <c r="F162" i="2" l="1"/>
  <c r="F90" i="2"/>
  <c r="F196" i="2"/>
  <c r="F123" i="2"/>
  <c r="F258" i="2"/>
  <c r="F68" i="2"/>
  <c r="F112" i="2"/>
  <c r="F101" i="2"/>
  <c r="F145" i="2"/>
  <c r="F213" i="2"/>
  <c r="F134" i="2"/>
  <c r="F79" i="2"/>
  <c r="F179" i="2"/>
  <c r="F332" i="2"/>
  <c r="F228" i="2"/>
  <c r="F423" i="2"/>
  <c r="F455" i="2"/>
  <c r="F303" i="2"/>
  <c r="F385" i="2"/>
  <c r="F406" i="2"/>
  <c r="F440" i="2"/>
  <c r="F470" i="2"/>
  <c r="F243" i="2"/>
  <c r="F273" i="2"/>
  <c r="F361" i="2"/>
  <c r="F482" i="2"/>
  <c r="F494" i="2"/>
  <c r="F505" i="2"/>
  <c r="C31" i="1"/>
  <c r="C23" i="1"/>
  <c r="C39" i="1"/>
  <c r="C35" i="1"/>
  <c r="C38" i="1"/>
  <c r="C17" i="1"/>
  <c r="C37" i="1"/>
  <c r="C20" i="1"/>
  <c r="C29" i="1"/>
  <c r="C33" i="1"/>
  <c r="C19" i="1"/>
  <c r="C28" i="1"/>
  <c r="C30" i="1"/>
  <c r="C32" i="1"/>
  <c r="C34" i="1"/>
  <c r="C36" i="1"/>
  <c r="F57" i="2"/>
  <c r="F46" i="2"/>
  <c r="F35" i="2"/>
  <c r="F24" i="2"/>
  <c r="F10" i="5"/>
  <c r="C26" i="1" l="1"/>
  <c r="C22" i="1"/>
  <c r="C16" i="1"/>
  <c r="C24" i="1"/>
  <c r="C18"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00000000-0006-0000-0100-000015000000}">
      <text>
        <r>
          <rPr>
            <sz val="11"/>
            <color theme="1"/>
            <rFont val="Calibri"/>
            <family val="2"/>
            <scheme val="minor"/>
          </rPr>
          <t>Introducir un texto con el nombre o referencia de la contratación</t>
        </r>
      </text>
    </comment>
    <comment ref="B27" authorId="2" shapeId="0" xr:uid="{00000000-0006-0000-0100-000016000000}">
      <text>
        <r>
          <rPr>
            <sz val="11"/>
            <color theme="1"/>
            <rFont val="Calibri"/>
            <family val="2"/>
            <scheme val="minor"/>
          </rPr>
          <t>Introduzca un texto con la finalidad de la contratación</t>
        </r>
      </text>
    </comment>
    <comment ref="C27" authorId="2" shapeId="0" xr:uid="{00000000-0006-0000-0100-000017000000}">
      <text>
        <r>
          <rPr>
            <sz val="11"/>
            <color theme="1"/>
            <rFont val="Calibri"/>
            <family val="2"/>
            <scheme val="minor"/>
          </rPr>
          <t>Seleccionar un valor del listado</t>
        </r>
      </text>
    </comment>
    <comment ref="D27" authorId="2" shapeId="0" xr:uid="{00000000-0006-0000-0100-000018000000}">
      <text>
        <r>
          <rPr>
            <sz val="11"/>
            <color theme="1"/>
            <rFont val="Calibri"/>
            <family val="2"/>
            <scheme val="minor"/>
          </rPr>
          <t>Seleccione el tipo de procedimiento</t>
        </r>
      </text>
    </comment>
    <comment ref="E27" authorId="2" shapeId="0" xr:uid="{00000000-0006-0000-0100-000019000000}">
      <text>
        <r>
          <rPr>
            <sz val="11"/>
            <color theme="1"/>
            <rFont val="Calibri"/>
            <family val="2"/>
            <scheme val="minor"/>
          </rPr>
          <t>Seleccione un valor de la lista</t>
        </r>
      </text>
    </comment>
    <comment ref="F27" authorId="2" shapeId="0" xr:uid="{00000000-0006-0000-0100-00001A000000}">
      <text>
        <r>
          <rPr>
            <sz val="11"/>
            <color theme="1"/>
            <rFont val="Calibri"/>
            <family val="2"/>
            <scheme val="minor"/>
          </rPr>
          <t>Introduzca el código SNIP</t>
        </r>
      </text>
    </comment>
    <comment ref="C28" authorId="2" shapeId="0" xr:uid="{00000000-0006-0000-0100-00001B000000}">
      <text>
        <r>
          <rPr>
            <sz val="11"/>
            <color theme="1"/>
            <rFont val="Calibri"/>
            <family val="2"/>
            <scheme val="minor"/>
          </rPr>
          <t>Introduzca la fecha de inicio del proceso, en formato dd-mm-aaaa</t>
        </r>
      </text>
    </comment>
    <comment ref="F28"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00000000-0006-0000-0100-00001D000000}">
      <text/>
    </comment>
    <comment ref="C30" authorId="2" shapeId="0" xr:uid="{00000000-0006-0000-0100-00001E000000}">
      <text>
        <r>
          <rPr>
            <sz val="11"/>
            <color theme="1"/>
            <rFont val="Calibri"/>
            <family val="2"/>
            <scheme val="minor"/>
          </rPr>
          <t>Introduzca la fecha prevista de adjudicación, en formato dd-mm-aaaa</t>
        </r>
      </text>
    </comment>
    <comment ref="F30" authorId="2" shapeId="0" xr:uid="{00000000-0006-0000-0100-00001F000000}">
      <text/>
    </comment>
    <comment ref="F31" authorId="2" shapeId="0" xr:uid="{00000000-0006-0000-0100-000020000000}">
      <text/>
    </comment>
    <comment ref="A33" authorId="2" shapeId="0" xr:uid="{00000000-0006-0000-0100-000021000000}">
      <text>
        <r>
          <rPr>
            <sz val="11"/>
            <color theme="1"/>
            <rFont val="Calibri"/>
            <family val="2"/>
            <scheme val="minor"/>
          </rPr>
          <t>Introduzca un codigo UNSPSC</t>
        </r>
      </text>
    </comment>
    <comment ref="B33" authorId="2" shapeId="0" xr:uid="{00000000-0006-0000-0100-000022000000}">
      <text>
        <r>
          <rPr>
            <sz val="11"/>
            <color theme="1"/>
            <rFont val="Calibri"/>
            <family val="2"/>
            <scheme val="minor"/>
          </rPr>
          <t>Descripción calculada automáticamente a partir de código del artículo</t>
        </r>
      </text>
    </comment>
    <comment ref="C33" authorId="2" shapeId="0" xr:uid="{00000000-0006-0000-0100-000023000000}">
      <text>
        <r>
          <rPr>
            <sz val="11"/>
            <color theme="1"/>
            <rFont val="Calibri"/>
            <family val="2"/>
            <scheme val="minor"/>
          </rPr>
          <t>Seleccione un valor de la lista</t>
        </r>
      </text>
    </comment>
    <comment ref="D33" authorId="2" shapeId="0" xr:uid="{00000000-0006-0000-0100-000024000000}">
      <text>
        <r>
          <rPr>
            <sz val="11"/>
            <color theme="1"/>
            <rFont val="Calibri"/>
            <family val="2"/>
            <scheme val="minor"/>
          </rPr>
          <t>Introduzca un número con dos decimales como máximo. Debe ser igual o mayor a la "Cantidad Real Consumida"</t>
        </r>
      </text>
    </comment>
    <comment ref="E33" authorId="2" shapeId="0" xr:uid="{00000000-0006-0000-0100-000025000000}">
      <text>
        <r>
          <rPr>
            <sz val="11"/>
            <color theme="1"/>
            <rFont val="Calibri"/>
            <family val="2"/>
            <scheme val="minor"/>
          </rPr>
          <t>Introduzca un número con dos decimales como máximo</t>
        </r>
      </text>
    </comment>
    <comment ref="F33" authorId="2" shapeId="0" xr:uid="{00000000-0006-0000-0100-000026000000}">
      <text>
        <r>
          <rPr>
            <sz val="11"/>
            <color theme="1"/>
            <rFont val="Calibri"/>
            <family val="2"/>
            <scheme val="minor"/>
          </rPr>
          <t>Monto calculado automáticamente por el sistema</t>
        </r>
      </text>
    </comment>
    <comment ref="A38" authorId="2" shapeId="0" xr:uid="{00000000-0006-0000-0100-000027000000}">
      <text>
        <r>
          <rPr>
            <sz val="11"/>
            <color theme="1"/>
            <rFont val="Calibri"/>
            <family val="2"/>
            <scheme val="minor"/>
          </rPr>
          <t>Introducir un texto con el nombre o referencia de la contratación</t>
        </r>
      </text>
    </comment>
    <comment ref="B38" authorId="2" shapeId="0" xr:uid="{00000000-0006-0000-0100-000028000000}">
      <text>
        <r>
          <rPr>
            <sz val="11"/>
            <color theme="1"/>
            <rFont val="Calibri"/>
            <family val="2"/>
            <scheme val="minor"/>
          </rPr>
          <t>Introduzca un texto con la finalidad de la contratación</t>
        </r>
      </text>
    </comment>
    <comment ref="C38" authorId="2" shapeId="0" xr:uid="{00000000-0006-0000-0100-000029000000}">
      <text>
        <r>
          <rPr>
            <sz val="11"/>
            <color theme="1"/>
            <rFont val="Calibri"/>
            <family val="2"/>
            <scheme val="minor"/>
          </rPr>
          <t>Seleccionar un valor del listado</t>
        </r>
      </text>
    </comment>
    <comment ref="D38" authorId="2" shapeId="0" xr:uid="{00000000-0006-0000-0100-00002A000000}">
      <text>
        <r>
          <rPr>
            <sz val="11"/>
            <color theme="1"/>
            <rFont val="Calibri"/>
            <family val="2"/>
            <scheme val="minor"/>
          </rPr>
          <t>Seleccione el tipo de procedimiento</t>
        </r>
      </text>
    </comment>
    <comment ref="E38" authorId="2" shapeId="0" xr:uid="{00000000-0006-0000-0100-00002B000000}">
      <text>
        <r>
          <rPr>
            <sz val="11"/>
            <color theme="1"/>
            <rFont val="Calibri"/>
            <family val="2"/>
            <scheme val="minor"/>
          </rPr>
          <t>Seleccione un valor de la lista</t>
        </r>
      </text>
    </comment>
    <comment ref="F38" authorId="2" shapeId="0" xr:uid="{00000000-0006-0000-0100-00002C000000}">
      <text>
        <r>
          <rPr>
            <sz val="11"/>
            <color theme="1"/>
            <rFont val="Calibri"/>
            <family val="2"/>
            <scheme val="minor"/>
          </rPr>
          <t>Introduzca el código SNIP</t>
        </r>
      </text>
    </comment>
    <comment ref="C39" authorId="2" shapeId="0" xr:uid="{00000000-0006-0000-0100-00002D000000}">
      <text>
        <r>
          <rPr>
            <sz val="11"/>
            <color theme="1"/>
            <rFont val="Calibri"/>
            <family val="2"/>
            <scheme val="minor"/>
          </rPr>
          <t>Introduzca la fecha de inicio del proceso, en formato dd-mm-aaaa</t>
        </r>
      </text>
    </comment>
    <comment ref="F39"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00000000-0006-0000-0100-00002F000000}">
      <text/>
    </comment>
    <comment ref="C41" authorId="2" shapeId="0" xr:uid="{00000000-0006-0000-0100-000030000000}">
      <text>
        <r>
          <rPr>
            <sz val="11"/>
            <color theme="1"/>
            <rFont val="Calibri"/>
            <family val="2"/>
            <scheme val="minor"/>
          </rPr>
          <t>Introduzca la fecha prevista de adjudicación, en formato dd-mm-aaaa</t>
        </r>
      </text>
    </comment>
    <comment ref="F41" authorId="2" shapeId="0" xr:uid="{00000000-0006-0000-0100-000031000000}">
      <text/>
    </comment>
    <comment ref="F42" authorId="2" shapeId="0" xr:uid="{00000000-0006-0000-0100-000032000000}">
      <text/>
    </comment>
    <comment ref="A44" authorId="2" shapeId="0" xr:uid="{00000000-0006-0000-0100-000033000000}">
      <text>
        <r>
          <rPr>
            <sz val="11"/>
            <color theme="1"/>
            <rFont val="Calibri"/>
            <family val="2"/>
            <scheme val="minor"/>
          </rPr>
          <t>Introduzca un codigo UNSPSC</t>
        </r>
      </text>
    </comment>
    <comment ref="B44" authorId="2" shapeId="0" xr:uid="{00000000-0006-0000-0100-000034000000}">
      <text>
        <r>
          <rPr>
            <sz val="11"/>
            <color theme="1"/>
            <rFont val="Calibri"/>
            <family val="2"/>
            <scheme val="minor"/>
          </rPr>
          <t>Descripción calculada automáticamente a partir de código del artículo</t>
        </r>
      </text>
    </comment>
    <comment ref="C44" authorId="2" shapeId="0" xr:uid="{00000000-0006-0000-0100-000035000000}">
      <text>
        <r>
          <rPr>
            <sz val="11"/>
            <color theme="1"/>
            <rFont val="Calibri"/>
            <family val="2"/>
            <scheme val="minor"/>
          </rPr>
          <t>Seleccione un valor de la lista</t>
        </r>
      </text>
    </comment>
    <comment ref="D44" authorId="2" shapeId="0" xr:uid="{00000000-0006-0000-0100-000036000000}">
      <text>
        <r>
          <rPr>
            <sz val="11"/>
            <color theme="1"/>
            <rFont val="Calibri"/>
            <family val="2"/>
            <scheme val="minor"/>
          </rPr>
          <t>Introduzca un número con dos decimales como máximo. Debe ser igual o mayor a la "Cantidad Real Consumida"</t>
        </r>
      </text>
    </comment>
    <comment ref="E44" authorId="2" shapeId="0" xr:uid="{00000000-0006-0000-0100-000037000000}">
      <text>
        <r>
          <rPr>
            <sz val="11"/>
            <color theme="1"/>
            <rFont val="Calibri"/>
            <family val="2"/>
            <scheme val="minor"/>
          </rPr>
          <t>Introduzca un número con dos decimales como máximo</t>
        </r>
      </text>
    </comment>
    <comment ref="F44" authorId="2" shapeId="0" xr:uid="{00000000-0006-0000-0100-000038000000}">
      <text>
        <r>
          <rPr>
            <sz val="11"/>
            <color theme="1"/>
            <rFont val="Calibri"/>
            <family val="2"/>
            <scheme val="minor"/>
          </rPr>
          <t>Monto calculado automáticamente por el sistema</t>
        </r>
      </text>
    </comment>
    <comment ref="A49" authorId="2" shapeId="0" xr:uid="{00000000-0006-0000-0100-000039000000}">
      <text>
        <r>
          <rPr>
            <sz val="11"/>
            <color theme="1"/>
            <rFont val="Calibri"/>
            <family val="2"/>
            <scheme val="minor"/>
          </rPr>
          <t>Introducir un texto con el nombre o referencia de la contratación</t>
        </r>
      </text>
    </comment>
    <comment ref="B49" authorId="2" shapeId="0" xr:uid="{00000000-0006-0000-0100-00003A000000}">
      <text>
        <r>
          <rPr>
            <sz val="11"/>
            <color theme="1"/>
            <rFont val="Calibri"/>
            <family val="2"/>
            <scheme val="minor"/>
          </rPr>
          <t>Introduzca un texto con la finalidad de la contratación</t>
        </r>
      </text>
    </comment>
    <comment ref="C49" authorId="2" shapeId="0" xr:uid="{00000000-0006-0000-0100-00003B000000}">
      <text>
        <r>
          <rPr>
            <sz val="11"/>
            <color theme="1"/>
            <rFont val="Calibri"/>
            <family val="2"/>
            <scheme val="minor"/>
          </rPr>
          <t>Seleccionar un valor del listado</t>
        </r>
      </text>
    </comment>
    <comment ref="D49" authorId="2" shapeId="0" xr:uid="{00000000-0006-0000-0100-00003C000000}">
      <text>
        <r>
          <rPr>
            <sz val="11"/>
            <color theme="1"/>
            <rFont val="Calibri"/>
            <family val="2"/>
            <scheme val="minor"/>
          </rPr>
          <t>Seleccione el tipo de procedimiento</t>
        </r>
      </text>
    </comment>
    <comment ref="E49" authorId="2" shapeId="0" xr:uid="{00000000-0006-0000-0100-00003D000000}">
      <text>
        <r>
          <rPr>
            <sz val="11"/>
            <color theme="1"/>
            <rFont val="Calibri"/>
            <family val="2"/>
            <scheme val="minor"/>
          </rPr>
          <t>Seleccione un valor de la lista</t>
        </r>
      </text>
    </comment>
    <comment ref="F49" authorId="2" shapeId="0" xr:uid="{00000000-0006-0000-0100-00003E000000}">
      <text>
        <r>
          <rPr>
            <sz val="11"/>
            <color theme="1"/>
            <rFont val="Calibri"/>
            <family val="2"/>
            <scheme val="minor"/>
          </rPr>
          <t>Introduzca el código SNIP</t>
        </r>
      </text>
    </comment>
    <comment ref="C50" authorId="2" shapeId="0" xr:uid="{00000000-0006-0000-0100-00003F000000}">
      <text>
        <r>
          <rPr>
            <sz val="11"/>
            <color theme="1"/>
            <rFont val="Calibri"/>
            <family val="2"/>
            <scheme val="minor"/>
          </rPr>
          <t>Introduzca la fecha de inicio del proceso, en formato dd-mm-aaaa</t>
        </r>
      </text>
    </comment>
    <comment ref="F50"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00000000-0006-0000-0100-000041000000}">
      <text/>
    </comment>
    <comment ref="C52" authorId="2" shapeId="0" xr:uid="{00000000-0006-0000-0100-000042000000}">
      <text>
        <r>
          <rPr>
            <sz val="11"/>
            <color theme="1"/>
            <rFont val="Calibri"/>
            <family val="2"/>
            <scheme val="minor"/>
          </rPr>
          <t>Introduzca la fecha prevista de adjudicación, en formato dd-mm-aaaa</t>
        </r>
      </text>
    </comment>
    <comment ref="F52" authorId="2" shapeId="0" xr:uid="{00000000-0006-0000-0100-000043000000}">
      <text/>
    </comment>
    <comment ref="F53" authorId="2" shapeId="0" xr:uid="{00000000-0006-0000-0100-000044000000}">
      <text/>
    </comment>
    <comment ref="A55" authorId="2" shapeId="0" xr:uid="{00000000-0006-0000-0100-000045000000}">
      <text>
        <r>
          <rPr>
            <sz val="11"/>
            <color theme="1"/>
            <rFont val="Calibri"/>
            <family val="2"/>
            <scheme val="minor"/>
          </rPr>
          <t>Introduzca un codigo UNSPSC</t>
        </r>
      </text>
    </comment>
    <comment ref="B55" authorId="2" shapeId="0" xr:uid="{00000000-0006-0000-0100-000046000000}">
      <text>
        <r>
          <rPr>
            <sz val="11"/>
            <color theme="1"/>
            <rFont val="Calibri"/>
            <family val="2"/>
            <scheme val="minor"/>
          </rPr>
          <t>Descripción calculada automáticamente a partir de código del artículo</t>
        </r>
      </text>
    </comment>
    <comment ref="C55" authorId="2" shapeId="0" xr:uid="{00000000-0006-0000-0100-000047000000}">
      <text>
        <r>
          <rPr>
            <sz val="11"/>
            <color theme="1"/>
            <rFont val="Calibri"/>
            <family val="2"/>
            <scheme val="minor"/>
          </rPr>
          <t>Seleccione un valor de la lista</t>
        </r>
      </text>
    </comment>
    <comment ref="D55" authorId="2" shapeId="0" xr:uid="{00000000-0006-0000-0100-000048000000}">
      <text>
        <r>
          <rPr>
            <sz val="11"/>
            <color theme="1"/>
            <rFont val="Calibri"/>
            <family val="2"/>
            <scheme val="minor"/>
          </rPr>
          <t>Introduzca un número con dos decimales como máximo. Debe ser igual o mayor a la "Cantidad Real Consumida"</t>
        </r>
      </text>
    </comment>
    <comment ref="E55" authorId="2" shapeId="0" xr:uid="{00000000-0006-0000-0100-000049000000}">
      <text>
        <r>
          <rPr>
            <sz val="11"/>
            <color theme="1"/>
            <rFont val="Calibri"/>
            <family val="2"/>
            <scheme val="minor"/>
          </rPr>
          <t>Introduzca un número con dos decimales como máximo</t>
        </r>
      </text>
    </comment>
    <comment ref="F55" authorId="2" shapeId="0" xr:uid="{00000000-0006-0000-0100-00004A000000}">
      <text>
        <r>
          <rPr>
            <sz val="11"/>
            <color theme="1"/>
            <rFont val="Calibri"/>
            <family val="2"/>
            <scheme val="minor"/>
          </rPr>
          <t>Monto calculado automáticamente por el sistema</t>
        </r>
      </text>
    </comment>
    <comment ref="A60" authorId="2" shapeId="0" xr:uid="{00000000-0006-0000-0100-00004B000000}">
      <text>
        <r>
          <rPr>
            <sz val="11"/>
            <color theme="1"/>
            <rFont val="Calibri"/>
            <family val="2"/>
            <scheme val="minor"/>
          </rPr>
          <t>Introducir un texto con el nombre o referencia de la contratación</t>
        </r>
      </text>
    </comment>
    <comment ref="B60" authorId="2" shapeId="0" xr:uid="{00000000-0006-0000-0100-00004C000000}">
      <text>
        <r>
          <rPr>
            <sz val="11"/>
            <color theme="1"/>
            <rFont val="Calibri"/>
            <family val="2"/>
            <scheme val="minor"/>
          </rPr>
          <t>Introduzca un texto con la finalidad de la contratación</t>
        </r>
      </text>
    </comment>
    <comment ref="C60" authorId="2" shapeId="0" xr:uid="{00000000-0006-0000-0100-00004D000000}">
      <text>
        <r>
          <rPr>
            <sz val="11"/>
            <color theme="1"/>
            <rFont val="Calibri"/>
            <family val="2"/>
            <scheme val="minor"/>
          </rPr>
          <t>Seleccionar un valor del listado</t>
        </r>
      </text>
    </comment>
    <comment ref="D60" authorId="2" shapeId="0" xr:uid="{00000000-0006-0000-0100-00004E000000}">
      <text>
        <r>
          <rPr>
            <sz val="11"/>
            <color theme="1"/>
            <rFont val="Calibri"/>
            <family val="2"/>
            <scheme val="minor"/>
          </rPr>
          <t>Seleccione el tipo de procedimiento</t>
        </r>
      </text>
    </comment>
    <comment ref="E60" authorId="2" shapeId="0" xr:uid="{00000000-0006-0000-0100-00004F000000}">
      <text>
        <r>
          <rPr>
            <sz val="11"/>
            <color theme="1"/>
            <rFont val="Calibri"/>
            <family val="2"/>
            <scheme val="minor"/>
          </rPr>
          <t>Seleccione un valor de la lista</t>
        </r>
      </text>
    </comment>
    <comment ref="F60" authorId="2" shapeId="0" xr:uid="{00000000-0006-0000-0100-000050000000}">
      <text>
        <r>
          <rPr>
            <sz val="11"/>
            <color theme="1"/>
            <rFont val="Calibri"/>
            <family val="2"/>
            <scheme val="minor"/>
          </rPr>
          <t>Introduzca el código SNIP</t>
        </r>
      </text>
    </comment>
    <comment ref="C61" authorId="2" shapeId="0" xr:uid="{00000000-0006-0000-0100-000051000000}">
      <text>
        <r>
          <rPr>
            <sz val="11"/>
            <color theme="1"/>
            <rFont val="Calibri"/>
            <family val="2"/>
            <scheme val="minor"/>
          </rPr>
          <t>Introduzca la fecha de inicio del proceso, en formato dd-mm-aaaa</t>
        </r>
      </text>
    </comment>
    <comment ref="F6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00000000-0006-0000-0100-000053000000}">
      <text/>
    </comment>
    <comment ref="C63" authorId="2" shapeId="0" xr:uid="{00000000-0006-0000-0100-000054000000}">
      <text>
        <r>
          <rPr>
            <sz val="11"/>
            <color theme="1"/>
            <rFont val="Calibri"/>
            <family val="2"/>
            <scheme val="minor"/>
          </rPr>
          <t>Introduzca la fecha prevista de adjudicación, en formato dd-mm-aaaa</t>
        </r>
      </text>
    </comment>
    <comment ref="F63" authorId="2" shapeId="0" xr:uid="{00000000-0006-0000-0100-000055000000}">
      <text/>
    </comment>
    <comment ref="F64" authorId="2" shapeId="0" xr:uid="{00000000-0006-0000-0100-000056000000}">
      <text/>
    </comment>
    <comment ref="A66" authorId="2" shapeId="0" xr:uid="{00000000-0006-0000-0100-000057000000}">
      <text>
        <r>
          <rPr>
            <sz val="11"/>
            <color theme="1"/>
            <rFont val="Calibri"/>
            <family val="2"/>
            <scheme val="minor"/>
          </rPr>
          <t>Introduzca un codigo UNSPSC</t>
        </r>
      </text>
    </comment>
    <comment ref="B66" authorId="2" shapeId="0" xr:uid="{00000000-0006-0000-0100-000058000000}">
      <text>
        <r>
          <rPr>
            <sz val="11"/>
            <color theme="1"/>
            <rFont val="Calibri"/>
            <family val="2"/>
            <scheme val="minor"/>
          </rPr>
          <t>Descripción calculada automáticamente a partir de código del artículo</t>
        </r>
      </text>
    </comment>
    <comment ref="C66" authorId="2" shapeId="0" xr:uid="{00000000-0006-0000-0100-000059000000}">
      <text>
        <r>
          <rPr>
            <sz val="11"/>
            <color theme="1"/>
            <rFont val="Calibri"/>
            <family val="2"/>
            <scheme val="minor"/>
          </rPr>
          <t>Seleccione un valor de la lista</t>
        </r>
      </text>
    </comment>
    <comment ref="D66" authorId="2" shapeId="0" xr:uid="{00000000-0006-0000-0100-00005A000000}">
      <text>
        <r>
          <rPr>
            <sz val="11"/>
            <color theme="1"/>
            <rFont val="Calibri"/>
            <family val="2"/>
            <scheme val="minor"/>
          </rPr>
          <t>Introduzca un número con dos decimales como máximo. Debe ser igual o mayor a la "Cantidad Real Consumida"</t>
        </r>
      </text>
    </comment>
    <comment ref="E66" authorId="2" shapeId="0" xr:uid="{00000000-0006-0000-0100-00005B000000}">
      <text>
        <r>
          <rPr>
            <sz val="11"/>
            <color theme="1"/>
            <rFont val="Calibri"/>
            <family val="2"/>
            <scheme val="minor"/>
          </rPr>
          <t>Introduzca un número con dos decimales como máximo</t>
        </r>
      </text>
    </comment>
    <comment ref="F66" authorId="2" shapeId="0" xr:uid="{00000000-0006-0000-0100-00005C000000}">
      <text>
        <r>
          <rPr>
            <sz val="11"/>
            <color theme="1"/>
            <rFont val="Calibri"/>
            <family val="2"/>
            <scheme val="minor"/>
          </rPr>
          <t>Monto calculado automáticamente por el sistema</t>
        </r>
      </text>
    </comment>
    <comment ref="A71" authorId="2" shapeId="0" xr:uid="{00000000-0006-0000-0100-00005D000000}">
      <text>
        <r>
          <rPr>
            <sz val="11"/>
            <color theme="1"/>
            <rFont val="Calibri"/>
            <family val="2"/>
            <scheme val="minor"/>
          </rPr>
          <t>Introducir un texto con el nombre o referencia de la contratación</t>
        </r>
      </text>
    </comment>
    <comment ref="B71" authorId="2" shapeId="0" xr:uid="{00000000-0006-0000-0100-00005E000000}">
      <text>
        <r>
          <rPr>
            <sz val="11"/>
            <color theme="1"/>
            <rFont val="Calibri"/>
            <family val="2"/>
            <scheme val="minor"/>
          </rPr>
          <t>Introduzca un texto con la finalidad de la contratación</t>
        </r>
      </text>
    </comment>
    <comment ref="C71" authorId="2" shapeId="0" xr:uid="{00000000-0006-0000-0100-00005F000000}">
      <text>
        <r>
          <rPr>
            <sz val="11"/>
            <color theme="1"/>
            <rFont val="Calibri"/>
            <family val="2"/>
            <scheme val="minor"/>
          </rPr>
          <t>Seleccionar un valor del listado</t>
        </r>
      </text>
    </comment>
    <comment ref="D71" authorId="2" shapeId="0" xr:uid="{00000000-0006-0000-0100-000060000000}">
      <text>
        <r>
          <rPr>
            <sz val="11"/>
            <color theme="1"/>
            <rFont val="Calibri"/>
            <family val="2"/>
            <scheme val="minor"/>
          </rPr>
          <t>Seleccione el tipo de procedimiento</t>
        </r>
      </text>
    </comment>
    <comment ref="E71" authorId="2" shapeId="0" xr:uid="{00000000-0006-0000-0100-000061000000}">
      <text>
        <r>
          <rPr>
            <sz val="11"/>
            <color theme="1"/>
            <rFont val="Calibri"/>
            <family val="2"/>
            <scheme val="minor"/>
          </rPr>
          <t>Seleccione un valor de la lista</t>
        </r>
      </text>
    </comment>
    <comment ref="F71" authorId="2" shapeId="0" xr:uid="{00000000-0006-0000-0100-000062000000}">
      <text>
        <r>
          <rPr>
            <sz val="11"/>
            <color theme="1"/>
            <rFont val="Calibri"/>
            <family val="2"/>
            <scheme val="minor"/>
          </rPr>
          <t>Introduzca el código SNIP</t>
        </r>
      </text>
    </comment>
    <comment ref="C72" authorId="2" shapeId="0" xr:uid="{00000000-0006-0000-0100-000063000000}">
      <text>
        <r>
          <rPr>
            <sz val="11"/>
            <color theme="1"/>
            <rFont val="Calibri"/>
            <family val="2"/>
            <scheme val="minor"/>
          </rPr>
          <t>Introduzca la fecha de inicio del proceso, en formato dd-mm-aaaa</t>
        </r>
      </text>
    </comment>
    <comment ref="F72"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00000000-0006-0000-0100-000065000000}">
      <text/>
    </comment>
    <comment ref="C74" authorId="2" shapeId="0" xr:uid="{00000000-0006-0000-0100-000066000000}">
      <text>
        <r>
          <rPr>
            <sz val="11"/>
            <color theme="1"/>
            <rFont val="Calibri"/>
            <family val="2"/>
            <scheme val="minor"/>
          </rPr>
          <t>Introduzca la fecha prevista de adjudicación, en formato dd-mm-aaaa</t>
        </r>
      </text>
    </comment>
    <comment ref="F74" authorId="2" shapeId="0" xr:uid="{00000000-0006-0000-0100-000067000000}">
      <text/>
    </comment>
    <comment ref="F75" authorId="2" shapeId="0" xr:uid="{00000000-0006-0000-0100-000068000000}">
      <text/>
    </comment>
    <comment ref="A77" authorId="2" shapeId="0" xr:uid="{00000000-0006-0000-0100-000069000000}">
      <text>
        <r>
          <rPr>
            <sz val="11"/>
            <color theme="1"/>
            <rFont val="Calibri"/>
            <family val="2"/>
            <scheme val="minor"/>
          </rPr>
          <t>Introduzca un codigo UNSPSC</t>
        </r>
      </text>
    </comment>
    <comment ref="B77" authorId="2" shapeId="0" xr:uid="{00000000-0006-0000-0100-00006A000000}">
      <text>
        <r>
          <rPr>
            <sz val="11"/>
            <color theme="1"/>
            <rFont val="Calibri"/>
            <family val="2"/>
            <scheme val="minor"/>
          </rPr>
          <t>Descripción calculada automáticamente a partir de código del artículo</t>
        </r>
      </text>
    </comment>
    <comment ref="C77" authorId="2" shapeId="0" xr:uid="{00000000-0006-0000-0100-00006B000000}">
      <text>
        <r>
          <rPr>
            <sz val="11"/>
            <color theme="1"/>
            <rFont val="Calibri"/>
            <family val="2"/>
            <scheme val="minor"/>
          </rPr>
          <t>Seleccione un valor de la lista</t>
        </r>
      </text>
    </comment>
    <comment ref="D77" authorId="2" shapeId="0" xr:uid="{00000000-0006-0000-0100-00006C000000}">
      <text>
        <r>
          <rPr>
            <sz val="11"/>
            <color theme="1"/>
            <rFont val="Calibri"/>
            <family val="2"/>
            <scheme val="minor"/>
          </rPr>
          <t>Introduzca un número con dos decimales como máximo. Debe ser igual o mayor a la "Cantidad Real Consumida"</t>
        </r>
      </text>
    </comment>
    <comment ref="E77" authorId="2" shapeId="0" xr:uid="{00000000-0006-0000-0100-00006D000000}">
      <text>
        <r>
          <rPr>
            <sz val="11"/>
            <color theme="1"/>
            <rFont val="Calibri"/>
            <family val="2"/>
            <scheme val="minor"/>
          </rPr>
          <t>Introduzca un número con dos decimales como máximo</t>
        </r>
      </text>
    </comment>
    <comment ref="F77" authorId="2" shapeId="0" xr:uid="{00000000-0006-0000-0100-00006E000000}">
      <text>
        <r>
          <rPr>
            <sz val="11"/>
            <color theme="1"/>
            <rFont val="Calibri"/>
            <family val="2"/>
            <scheme val="minor"/>
          </rPr>
          <t>Monto calculado automáticamente por el sistema</t>
        </r>
      </text>
    </comment>
    <comment ref="A82" authorId="2" shapeId="0" xr:uid="{00000000-0006-0000-0100-00006F000000}">
      <text>
        <r>
          <rPr>
            <sz val="11"/>
            <color theme="1"/>
            <rFont val="Calibri"/>
            <family val="2"/>
            <scheme val="minor"/>
          </rPr>
          <t>Introducir un texto con el nombre o referencia de la contratación</t>
        </r>
      </text>
    </comment>
    <comment ref="B82" authorId="2" shapeId="0" xr:uid="{00000000-0006-0000-0100-000070000000}">
      <text>
        <r>
          <rPr>
            <sz val="11"/>
            <color theme="1"/>
            <rFont val="Calibri"/>
            <family val="2"/>
            <scheme val="minor"/>
          </rPr>
          <t>Introduzca un texto con la finalidad de la contratación</t>
        </r>
      </text>
    </comment>
    <comment ref="C82" authorId="2" shapeId="0" xr:uid="{00000000-0006-0000-0100-000071000000}">
      <text>
        <r>
          <rPr>
            <sz val="11"/>
            <color theme="1"/>
            <rFont val="Calibri"/>
            <family val="2"/>
            <scheme val="minor"/>
          </rPr>
          <t>Seleccionar un valor del listado</t>
        </r>
      </text>
    </comment>
    <comment ref="D82" authorId="2" shapeId="0" xr:uid="{00000000-0006-0000-0100-000072000000}">
      <text>
        <r>
          <rPr>
            <sz val="11"/>
            <color theme="1"/>
            <rFont val="Calibri"/>
            <family val="2"/>
            <scheme val="minor"/>
          </rPr>
          <t>Seleccione el tipo de procedimiento</t>
        </r>
      </text>
    </comment>
    <comment ref="E82" authorId="2" shapeId="0" xr:uid="{00000000-0006-0000-0100-000073000000}">
      <text>
        <r>
          <rPr>
            <sz val="11"/>
            <color theme="1"/>
            <rFont val="Calibri"/>
            <family val="2"/>
            <scheme val="minor"/>
          </rPr>
          <t>Seleccione un valor de la lista</t>
        </r>
      </text>
    </comment>
    <comment ref="F82" authorId="2" shapeId="0" xr:uid="{00000000-0006-0000-0100-000074000000}">
      <text>
        <r>
          <rPr>
            <sz val="11"/>
            <color theme="1"/>
            <rFont val="Calibri"/>
            <family val="2"/>
            <scheme val="minor"/>
          </rPr>
          <t>Introduzca el código SNIP</t>
        </r>
      </text>
    </comment>
    <comment ref="C83" authorId="2" shapeId="0" xr:uid="{00000000-0006-0000-0100-000075000000}">
      <text>
        <r>
          <rPr>
            <sz val="11"/>
            <color theme="1"/>
            <rFont val="Calibri"/>
            <family val="2"/>
            <scheme val="minor"/>
          </rPr>
          <t>Introduzca la fecha de inicio del proceso, en formato dd-mm-aaaa</t>
        </r>
      </text>
    </comment>
    <comment ref="F83"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00000000-0006-0000-0100-000077000000}">
      <text/>
    </comment>
    <comment ref="C85" authorId="2" shapeId="0" xr:uid="{00000000-0006-0000-0100-000078000000}">
      <text>
        <r>
          <rPr>
            <sz val="11"/>
            <color theme="1"/>
            <rFont val="Calibri"/>
            <family val="2"/>
            <scheme val="minor"/>
          </rPr>
          <t>Introduzca la fecha prevista de adjudicación, en formato dd-mm-aaaa</t>
        </r>
      </text>
    </comment>
    <comment ref="F85" authorId="2" shapeId="0" xr:uid="{00000000-0006-0000-0100-000079000000}">
      <text/>
    </comment>
    <comment ref="F86" authorId="2" shapeId="0" xr:uid="{00000000-0006-0000-0100-00007A000000}">
      <text/>
    </comment>
    <comment ref="A88" authorId="2" shapeId="0" xr:uid="{00000000-0006-0000-0100-00007B000000}">
      <text>
        <r>
          <rPr>
            <sz val="11"/>
            <color theme="1"/>
            <rFont val="Calibri"/>
            <family val="2"/>
            <scheme val="minor"/>
          </rPr>
          <t>Introduzca un codigo UNSPSC</t>
        </r>
      </text>
    </comment>
    <comment ref="B88" authorId="2" shapeId="0" xr:uid="{00000000-0006-0000-0100-00007C000000}">
      <text>
        <r>
          <rPr>
            <sz val="11"/>
            <color theme="1"/>
            <rFont val="Calibri"/>
            <family val="2"/>
            <scheme val="minor"/>
          </rPr>
          <t>Descripción calculada automáticamente a partir de código del artículo</t>
        </r>
      </text>
    </comment>
    <comment ref="C88" authorId="2" shapeId="0" xr:uid="{00000000-0006-0000-0100-00007D000000}">
      <text>
        <r>
          <rPr>
            <sz val="11"/>
            <color theme="1"/>
            <rFont val="Calibri"/>
            <family val="2"/>
            <scheme val="minor"/>
          </rPr>
          <t>Seleccione un valor de la lista</t>
        </r>
      </text>
    </comment>
    <comment ref="D88" authorId="2" shapeId="0" xr:uid="{00000000-0006-0000-0100-00007E000000}">
      <text>
        <r>
          <rPr>
            <sz val="11"/>
            <color theme="1"/>
            <rFont val="Calibri"/>
            <family val="2"/>
            <scheme val="minor"/>
          </rPr>
          <t>Introduzca un número con dos decimales como máximo. Debe ser igual o mayor a la "Cantidad Real Consumida"</t>
        </r>
      </text>
    </comment>
    <comment ref="E88" authorId="2" shapeId="0" xr:uid="{00000000-0006-0000-0100-00007F000000}">
      <text>
        <r>
          <rPr>
            <sz val="11"/>
            <color theme="1"/>
            <rFont val="Calibri"/>
            <family val="2"/>
            <scheme val="minor"/>
          </rPr>
          <t>Introduzca un número con dos decimales como máximo</t>
        </r>
      </text>
    </comment>
    <comment ref="F88" authorId="2" shapeId="0" xr:uid="{00000000-0006-0000-0100-000080000000}">
      <text>
        <r>
          <rPr>
            <sz val="11"/>
            <color theme="1"/>
            <rFont val="Calibri"/>
            <family val="2"/>
            <scheme val="minor"/>
          </rPr>
          <t>Monto calculado automáticamente por el sistema</t>
        </r>
      </text>
    </comment>
    <comment ref="A93" authorId="2" shapeId="0" xr:uid="{00000000-0006-0000-0100-000081000000}">
      <text>
        <r>
          <rPr>
            <sz val="11"/>
            <color theme="1"/>
            <rFont val="Calibri"/>
            <family val="2"/>
            <scheme val="minor"/>
          </rPr>
          <t>Introducir un texto con el nombre o referencia de la contratación</t>
        </r>
      </text>
    </comment>
    <comment ref="B93" authorId="2" shapeId="0" xr:uid="{00000000-0006-0000-0100-000082000000}">
      <text>
        <r>
          <rPr>
            <sz val="11"/>
            <color theme="1"/>
            <rFont val="Calibri"/>
            <family val="2"/>
            <scheme val="minor"/>
          </rPr>
          <t>Introduzca un texto con la finalidad de la contratación</t>
        </r>
      </text>
    </comment>
    <comment ref="C93" authorId="2" shapeId="0" xr:uid="{00000000-0006-0000-0100-000083000000}">
      <text>
        <r>
          <rPr>
            <sz val="11"/>
            <color theme="1"/>
            <rFont val="Calibri"/>
            <family val="2"/>
            <scheme val="minor"/>
          </rPr>
          <t>Seleccionar un valor del listado</t>
        </r>
      </text>
    </comment>
    <comment ref="D93" authorId="2" shapeId="0" xr:uid="{00000000-0006-0000-0100-000084000000}">
      <text>
        <r>
          <rPr>
            <sz val="11"/>
            <color theme="1"/>
            <rFont val="Calibri"/>
            <family val="2"/>
            <scheme val="minor"/>
          </rPr>
          <t>Seleccione el tipo de procedimiento</t>
        </r>
      </text>
    </comment>
    <comment ref="E93" authorId="2" shapeId="0" xr:uid="{00000000-0006-0000-0100-000085000000}">
      <text>
        <r>
          <rPr>
            <sz val="11"/>
            <color theme="1"/>
            <rFont val="Calibri"/>
            <family val="2"/>
            <scheme val="minor"/>
          </rPr>
          <t>Seleccione un valor de la lista</t>
        </r>
      </text>
    </comment>
    <comment ref="F93" authorId="2" shapeId="0" xr:uid="{00000000-0006-0000-0100-000086000000}">
      <text>
        <r>
          <rPr>
            <sz val="11"/>
            <color theme="1"/>
            <rFont val="Calibri"/>
            <family val="2"/>
            <scheme val="minor"/>
          </rPr>
          <t>Introduzca el código SNIP</t>
        </r>
      </text>
    </comment>
    <comment ref="C94" authorId="2" shapeId="0" xr:uid="{00000000-0006-0000-0100-000087000000}">
      <text>
        <r>
          <rPr>
            <sz val="11"/>
            <color theme="1"/>
            <rFont val="Calibri"/>
            <family val="2"/>
            <scheme val="minor"/>
          </rPr>
          <t>Introduzca la fecha de inicio del proceso, en formato dd-mm-aaaa</t>
        </r>
      </text>
    </comment>
    <comment ref="F94"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00000000-0006-0000-0100-000089000000}">
      <text/>
    </comment>
    <comment ref="C96" authorId="2" shapeId="0" xr:uid="{00000000-0006-0000-0100-00008A000000}">
      <text>
        <r>
          <rPr>
            <sz val="11"/>
            <color theme="1"/>
            <rFont val="Calibri"/>
            <family val="2"/>
            <scheme val="minor"/>
          </rPr>
          <t>Introduzca la fecha prevista de adjudicación, en formato dd-mm-aaaa</t>
        </r>
      </text>
    </comment>
    <comment ref="F96" authorId="2" shapeId="0" xr:uid="{00000000-0006-0000-0100-00008B000000}">
      <text/>
    </comment>
    <comment ref="F97" authorId="2" shapeId="0" xr:uid="{00000000-0006-0000-0100-00008C000000}">
      <text/>
    </comment>
    <comment ref="A99" authorId="2" shapeId="0" xr:uid="{00000000-0006-0000-0100-00008D000000}">
      <text>
        <r>
          <rPr>
            <sz val="11"/>
            <color theme="1"/>
            <rFont val="Calibri"/>
            <family val="2"/>
            <scheme val="minor"/>
          </rPr>
          <t>Introduzca un codigo UNSPSC</t>
        </r>
      </text>
    </comment>
    <comment ref="B99" authorId="2" shapeId="0" xr:uid="{00000000-0006-0000-0100-00008E000000}">
      <text>
        <r>
          <rPr>
            <sz val="11"/>
            <color theme="1"/>
            <rFont val="Calibri"/>
            <family val="2"/>
            <scheme val="minor"/>
          </rPr>
          <t>Descripción calculada automáticamente a partir de código del artículo</t>
        </r>
      </text>
    </comment>
    <comment ref="C99" authorId="2" shapeId="0" xr:uid="{00000000-0006-0000-0100-00008F000000}">
      <text>
        <r>
          <rPr>
            <sz val="11"/>
            <color theme="1"/>
            <rFont val="Calibri"/>
            <family val="2"/>
            <scheme val="minor"/>
          </rPr>
          <t>Seleccione un valor de la lista</t>
        </r>
      </text>
    </comment>
    <comment ref="D99" authorId="2" shapeId="0" xr:uid="{00000000-0006-0000-0100-000090000000}">
      <text>
        <r>
          <rPr>
            <sz val="11"/>
            <color theme="1"/>
            <rFont val="Calibri"/>
            <family val="2"/>
            <scheme val="minor"/>
          </rPr>
          <t>Introduzca un número con dos decimales como máximo. Debe ser igual o mayor a la "Cantidad Real Consumida"</t>
        </r>
      </text>
    </comment>
    <comment ref="E99" authorId="2" shapeId="0" xr:uid="{00000000-0006-0000-0100-000091000000}">
      <text>
        <r>
          <rPr>
            <sz val="11"/>
            <color theme="1"/>
            <rFont val="Calibri"/>
            <family val="2"/>
            <scheme val="minor"/>
          </rPr>
          <t>Introduzca un número con dos decimales como máximo</t>
        </r>
      </text>
    </comment>
    <comment ref="F99" authorId="2" shapeId="0" xr:uid="{00000000-0006-0000-0100-000092000000}">
      <text>
        <r>
          <rPr>
            <sz val="11"/>
            <color theme="1"/>
            <rFont val="Calibri"/>
            <family val="2"/>
            <scheme val="minor"/>
          </rPr>
          <t>Monto calculado automáticamente por el sistema</t>
        </r>
      </text>
    </comment>
    <comment ref="A104" authorId="2" shapeId="0" xr:uid="{00000000-0006-0000-0100-000093000000}">
      <text>
        <r>
          <rPr>
            <sz val="11"/>
            <color theme="1"/>
            <rFont val="Calibri"/>
            <family val="2"/>
            <scheme val="minor"/>
          </rPr>
          <t>Introducir un texto con el nombre o referencia de la contratación</t>
        </r>
      </text>
    </comment>
    <comment ref="B104" authorId="2" shapeId="0" xr:uid="{00000000-0006-0000-0100-000094000000}">
      <text>
        <r>
          <rPr>
            <sz val="11"/>
            <color theme="1"/>
            <rFont val="Calibri"/>
            <family val="2"/>
            <scheme val="minor"/>
          </rPr>
          <t>Introduzca un texto con la finalidad de la contratación</t>
        </r>
      </text>
    </comment>
    <comment ref="C104" authorId="2" shapeId="0" xr:uid="{00000000-0006-0000-0100-000095000000}">
      <text>
        <r>
          <rPr>
            <sz val="11"/>
            <color theme="1"/>
            <rFont val="Calibri"/>
            <family val="2"/>
            <scheme val="minor"/>
          </rPr>
          <t>Seleccionar un valor del listado</t>
        </r>
      </text>
    </comment>
    <comment ref="D104" authorId="2" shapeId="0" xr:uid="{00000000-0006-0000-0100-000096000000}">
      <text>
        <r>
          <rPr>
            <sz val="11"/>
            <color theme="1"/>
            <rFont val="Calibri"/>
            <family val="2"/>
            <scheme val="minor"/>
          </rPr>
          <t>Seleccione el tipo de procedimiento</t>
        </r>
      </text>
    </comment>
    <comment ref="E104" authorId="2" shapeId="0" xr:uid="{00000000-0006-0000-0100-000097000000}">
      <text>
        <r>
          <rPr>
            <sz val="11"/>
            <color theme="1"/>
            <rFont val="Calibri"/>
            <family val="2"/>
            <scheme val="minor"/>
          </rPr>
          <t>Seleccione un valor de la lista</t>
        </r>
      </text>
    </comment>
    <comment ref="F104" authorId="2" shapeId="0" xr:uid="{00000000-0006-0000-0100-000098000000}">
      <text>
        <r>
          <rPr>
            <sz val="11"/>
            <color theme="1"/>
            <rFont val="Calibri"/>
            <family val="2"/>
            <scheme val="minor"/>
          </rPr>
          <t>Introduzca el código SNIP</t>
        </r>
      </text>
    </comment>
    <comment ref="C105" authorId="2" shapeId="0" xr:uid="{00000000-0006-0000-0100-000099000000}">
      <text>
        <r>
          <rPr>
            <sz val="11"/>
            <color theme="1"/>
            <rFont val="Calibri"/>
            <family val="2"/>
            <scheme val="minor"/>
          </rPr>
          <t>Introduzca la fecha de inicio del proceso, en formato dd-mm-aaaa</t>
        </r>
      </text>
    </comment>
    <comment ref="F105"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00000000-0006-0000-0100-00009B000000}">
      <text/>
    </comment>
    <comment ref="C107" authorId="2" shapeId="0" xr:uid="{00000000-0006-0000-0100-00009C000000}">
      <text>
        <r>
          <rPr>
            <sz val="11"/>
            <color theme="1"/>
            <rFont val="Calibri"/>
            <family val="2"/>
            <scheme val="minor"/>
          </rPr>
          <t>Introduzca la fecha prevista de adjudicación, en formato dd-mm-aaaa</t>
        </r>
      </text>
    </comment>
    <comment ref="F107" authorId="2" shapeId="0" xr:uid="{00000000-0006-0000-0100-00009D000000}">
      <text/>
    </comment>
    <comment ref="F108" authorId="2" shapeId="0" xr:uid="{00000000-0006-0000-0100-00009E000000}">
      <text/>
    </comment>
    <comment ref="A110" authorId="2" shapeId="0" xr:uid="{00000000-0006-0000-0100-00009F000000}">
      <text>
        <r>
          <rPr>
            <sz val="11"/>
            <color theme="1"/>
            <rFont val="Calibri"/>
            <family val="2"/>
            <scheme val="minor"/>
          </rPr>
          <t>Introduzca un codigo UNSPSC</t>
        </r>
      </text>
    </comment>
    <comment ref="B110" authorId="2" shapeId="0" xr:uid="{00000000-0006-0000-0100-0000A0000000}">
      <text>
        <r>
          <rPr>
            <sz val="11"/>
            <color theme="1"/>
            <rFont val="Calibri"/>
            <family val="2"/>
            <scheme val="minor"/>
          </rPr>
          <t>Descripción calculada automáticamente a partir de código del artículo</t>
        </r>
      </text>
    </comment>
    <comment ref="C110" authorId="2" shapeId="0" xr:uid="{00000000-0006-0000-0100-0000A1000000}">
      <text>
        <r>
          <rPr>
            <sz val="11"/>
            <color theme="1"/>
            <rFont val="Calibri"/>
            <family val="2"/>
            <scheme val="minor"/>
          </rPr>
          <t>Seleccione un valor de la lista</t>
        </r>
      </text>
    </comment>
    <comment ref="D110" authorId="2" shapeId="0" xr:uid="{00000000-0006-0000-0100-0000A2000000}">
      <text>
        <r>
          <rPr>
            <sz val="11"/>
            <color theme="1"/>
            <rFont val="Calibri"/>
            <family val="2"/>
            <scheme val="minor"/>
          </rPr>
          <t>Introduzca un número con dos decimales como máximo. Debe ser igual o mayor a la "Cantidad Real Consumida"</t>
        </r>
      </text>
    </comment>
    <comment ref="E110" authorId="2" shapeId="0" xr:uid="{00000000-0006-0000-0100-0000A3000000}">
      <text>
        <r>
          <rPr>
            <sz val="11"/>
            <color theme="1"/>
            <rFont val="Calibri"/>
            <family val="2"/>
            <scheme val="minor"/>
          </rPr>
          <t>Introduzca un número con dos decimales como máximo</t>
        </r>
      </text>
    </comment>
    <comment ref="F110" authorId="2" shapeId="0" xr:uid="{00000000-0006-0000-0100-0000A4000000}">
      <text>
        <r>
          <rPr>
            <sz val="11"/>
            <color theme="1"/>
            <rFont val="Calibri"/>
            <family val="2"/>
            <scheme val="minor"/>
          </rPr>
          <t>Monto calculado automáticamente por el sistema</t>
        </r>
      </text>
    </comment>
    <comment ref="A115" authorId="2" shapeId="0" xr:uid="{00000000-0006-0000-0100-0000A5000000}">
      <text>
        <r>
          <rPr>
            <sz val="11"/>
            <color theme="1"/>
            <rFont val="Calibri"/>
            <family val="2"/>
            <scheme val="minor"/>
          </rPr>
          <t>Introducir un texto con el nombre o referencia de la contratación</t>
        </r>
      </text>
    </comment>
    <comment ref="B115" authorId="2" shapeId="0" xr:uid="{00000000-0006-0000-0100-0000A6000000}">
      <text>
        <r>
          <rPr>
            <sz val="11"/>
            <color theme="1"/>
            <rFont val="Calibri"/>
            <family val="2"/>
            <scheme val="minor"/>
          </rPr>
          <t>Introduzca un texto con la finalidad de la contratación</t>
        </r>
      </text>
    </comment>
    <comment ref="C115" authorId="2" shapeId="0" xr:uid="{00000000-0006-0000-0100-0000A7000000}">
      <text>
        <r>
          <rPr>
            <sz val="11"/>
            <color theme="1"/>
            <rFont val="Calibri"/>
            <family val="2"/>
            <scheme val="minor"/>
          </rPr>
          <t>Seleccionar un valor del listado</t>
        </r>
      </text>
    </comment>
    <comment ref="D115" authorId="2" shapeId="0" xr:uid="{00000000-0006-0000-0100-0000A8000000}">
      <text>
        <r>
          <rPr>
            <sz val="11"/>
            <color theme="1"/>
            <rFont val="Calibri"/>
            <family val="2"/>
            <scheme val="minor"/>
          </rPr>
          <t>Seleccione el tipo de procedimiento</t>
        </r>
      </text>
    </comment>
    <comment ref="E115" authorId="2" shapeId="0" xr:uid="{00000000-0006-0000-0100-0000A9000000}">
      <text>
        <r>
          <rPr>
            <sz val="11"/>
            <color theme="1"/>
            <rFont val="Calibri"/>
            <family val="2"/>
            <scheme val="minor"/>
          </rPr>
          <t>Seleccione un valor de la lista</t>
        </r>
      </text>
    </comment>
    <comment ref="F115" authorId="2" shapeId="0" xr:uid="{00000000-0006-0000-0100-0000AA000000}">
      <text>
        <r>
          <rPr>
            <sz val="11"/>
            <color theme="1"/>
            <rFont val="Calibri"/>
            <family val="2"/>
            <scheme val="minor"/>
          </rPr>
          <t>Introduzca el código SNIP</t>
        </r>
      </text>
    </comment>
    <comment ref="C116" authorId="2" shapeId="0" xr:uid="{00000000-0006-0000-0100-0000AB000000}">
      <text>
        <r>
          <rPr>
            <sz val="11"/>
            <color theme="1"/>
            <rFont val="Calibri"/>
            <family val="2"/>
            <scheme val="minor"/>
          </rPr>
          <t>Introduzca la fecha de inicio del proceso, en formato dd-mm-aaaa</t>
        </r>
      </text>
    </comment>
    <comment ref="F116"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xr:uid="{00000000-0006-0000-0100-0000AD000000}">
      <text/>
    </comment>
    <comment ref="C118" authorId="2" shapeId="0" xr:uid="{00000000-0006-0000-0100-0000AE000000}">
      <text>
        <r>
          <rPr>
            <sz val="11"/>
            <color theme="1"/>
            <rFont val="Calibri"/>
            <family val="2"/>
            <scheme val="minor"/>
          </rPr>
          <t>Introduzca la fecha prevista de adjudicación, en formato dd-mm-aaaa</t>
        </r>
      </text>
    </comment>
    <comment ref="F118" authorId="2" shapeId="0" xr:uid="{00000000-0006-0000-0100-0000AF000000}">
      <text/>
    </comment>
    <comment ref="F119" authorId="2" shapeId="0" xr:uid="{00000000-0006-0000-0100-0000B0000000}">
      <text/>
    </comment>
    <comment ref="A121" authorId="2" shapeId="0" xr:uid="{00000000-0006-0000-0100-0000B1000000}">
      <text>
        <r>
          <rPr>
            <sz val="11"/>
            <color theme="1"/>
            <rFont val="Calibri"/>
            <family val="2"/>
            <scheme val="minor"/>
          </rPr>
          <t>Introduzca un codigo UNSPSC</t>
        </r>
      </text>
    </comment>
    <comment ref="B121" authorId="2" shapeId="0" xr:uid="{00000000-0006-0000-0100-0000B2000000}">
      <text>
        <r>
          <rPr>
            <sz val="11"/>
            <color theme="1"/>
            <rFont val="Calibri"/>
            <family val="2"/>
            <scheme val="minor"/>
          </rPr>
          <t>Descripción calculada automáticamente a partir de código del artículo</t>
        </r>
      </text>
    </comment>
    <comment ref="C121" authorId="2" shapeId="0" xr:uid="{00000000-0006-0000-0100-0000B3000000}">
      <text>
        <r>
          <rPr>
            <sz val="11"/>
            <color theme="1"/>
            <rFont val="Calibri"/>
            <family val="2"/>
            <scheme val="minor"/>
          </rPr>
          <t>Seleccione un valor de la lista</t>
        </r>
      </text>
    </comment>
    <comment ref="D121" authorId="2" shapeId="0" xr:uid="{00000000-0006-0000-0100-0000B4000000}">
      <text>
        <r>
          <rPr>
            <sz val="11"/>
            <color theme="1"/>
            <rFont val="Calibri"/>
            <family val="2"/>
            <scheme val="minor"/>
          </rPr>
          <t>Introduzca un número con dos decimales como máximo. Debe ser igual o mayor a la "Cantidad Real Consumida"</t>
        </r>
      </text>
    </comment>
    <comment ref="E121" authorId="2" shapeId="0" xr:uid="{00000000-0006-0000-0100-0000B5000000}">
      <text>
        <r>
          <rPr>
            <sz val="11"/>
            <color theme="1"/>
            <rFont val="Calibri"/>
            <family val="2"/>
            <scheme val="minor"/>
          </rPr>
          <t>Introduzca un número con dos decimales como máximo</t>
        </r>
      </text>
    </comment>
    <comment ref="F121" authorId="2" shapeId="0" xr:uid="{00000000-0006-0000-0100-0000B6000000}">
      <text>
        <r>
          <rPr>
            <sz val="11"/>
            <color theme="1"/>
            <rFont val="Calibri"/>
            <family val="2"/>
            <scheme val="minor"/>
          </rPr>
          <t>Monto calculado automáticamente por el sistema</t>
        </r>
      </text>
    </comment>
    <comment ref="A126" authorId="2" shapeId="0" xr:uid="{00000000-0006-0000-0100-0000B7000000}">
      <text>
        <r>
          <rPr>
            <sz val="11"/>
            <color theme="1"/>
            <rFont val="Calibri"/>
            <family val="2"/>
            <scheme val="minor"/>
          </rPr>
          <t>Introducir un texto con el nombre o referencia de la contratación</t>
        </r>
      </text>
    </comment>
    <comment ref="B126" authorId="2" shapeId="0" xr:uid="{00000000-0006-0000-0100-0000B8000000}">
      <text>
        <r>
          <rPr>
            <sz val="11"/>
            <color theme="1"/>
            <rFont val="Calibri"/>
            <family val="2"/>
            <scheme val="minor"/>
          </rPr>
          <t>Introduzca un texto con la finalidad de la contratación</t>
        </r>
      </text>
    </comment>
    <comment ref="C126" authorId="2" shapeId="0" xr:uid="{00000000-0006-0000-0100-0000B9000000}">
      <text>
        <r>
          <rPr>
            <sz val="11"/>
            <color theme="1"/>
            <rFont val="Calibri"/>
            <family val="2"/>
            <scheme val="minor"/>
          </rPr>
          <t>Seleccionar un valor del listado</t>
        </r>
      </text>
    </comment>
    <comment ref="D126" authorId="2" shapeId="0" xr:uid="{00000000-0006-0000-0100-0000BA000000}">
      <text>
        <r>
          <rPr>
            <sz val="11"/>
            <color theme="1"/>
            <rFont val="Calibri"/>
            <family val="2"/>
            <scheme val="minor"/>
          </rPr>
          <t>Seleccione el tipo de procedimiento</t>
        </r>
      </text>
    </comment>
    <comment ref="E126" authorId="2" shapeId="0" xr:uid="{00000000-0006-0000-0100-0000BB000000}">
      <text>
        <r>
          <rPr>
            <sz val="11"/>
            <color theme="1"/>
            <rFont val="Calibri"/>
            <family val="2"/>
            <scheme val="minor"/>
          </rPr>
          <t>Seleccione un valor de la lista</t>
        </r>
      </text>
    </comment>
    <comment ref="F126" authorId="2" shapeId="0" xr:uid="{00000000-0006-0000-0100-0000BC000000}">
      <text>
        <r>
          <rPr>
            <sz val="11"/>
            <color theme="1"/>
            <rFont val="Calibri"/>
            <family val="2"/>
            <scheme val="minor"/>
          </rPr>
          <t>Introduzca el código SNIP</t>
        </r>
      </text>
    </comment>
    <comment ref="C127" authorId="2" shapeId="0" xr:uid="{00000000-0006-0000-0100-0000BD000000}">
      <text>
        <r>
          <rPr>
            <sz val="11"/>
            <color theme="1"/>
            <rFont val="Calibri"/>
            <family val="2"/>
            <scheme val="minor"/>
          </rPr>
          <t>Introduzca la fecha de inicio del proceso, en formato dd-mm-aaaa</t>
        </r>
      </text>
    </comment>
    <comment ref="F127"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xr:uid="{00000000-0006-0000-0100-0000BF000000}">
      <text/>
    </comment>
    <comment ref="C129" authorId="2" shapeId="0" xr:uid="{00000000-0006-0000-0100-0000C0000000}">
      <text>
        <r>
          <rPr>
            <sz val="11"/>
            <color theme="1"/>
            <rFont val="Calibri"/>
            <family val="2"/>
            <scheme val="minor"/>
          </rPr>
          <t>Introduzca la fecha prevista de adjudicación, en formato dd-mm-aaaa</t>
        </r>
      </text>
    </comment>
    <comment ref="F129" authorId="2" shapeId="0" xr:uid="{00000000-0006-0000-0100-0000C1000000}">
      <text/>
    </comment>
    <comment ref="F130" authorId="2" shapeId="0" xr:uid="{00000000-0006-0000-0100-0000C2000000}">
      <text/>
    </comment>
    <comment ref="A132" authorId="2" shapeId="0" xr:uid="{00000000-0006-0000-0100-0000C3000000}">
      <text>
        <r>
          <rPr>
            <sz val="11"/>
            <color theme="1"/>
            <rFont val="Calibri"/>
            <family val="2"/>
            <scheme val="minor"/>
          </rPr>
          <t>Introduzca un codigo UNSPSC</t>
        </r>
      </text>
    </comment>
    <comment ref="B132" authorId="2" shapeId="0" xr:uid="{00000000-0006-0000-0100-0000C4000000}">
      <text>
        <r>
          <rPr>
            <sz val="11"/>
            <color theme="1"/>
            <rFont val="Calibri"/>
            <family val="2"/>
            <scheme val="minor"/>
          </rPr>
          <t>Descripción calculada automáticamente a partir de código del artículo</t>
        </r>
      </text>
    </comment>
    <comment ref="C132" authorId="2" shapeId="0" xr:uid="{00000000-0006-0000-0100-0000C5000000}">
      <text>
        <r>
          <rPr>
            <sz val="11"/>
            <color theme="1"/>
            <rFont val="Calibri"/>
            <family val="2"/>
            <scheme val="minor"/>
          </rPr>
          <t>Seleccione un valor de la lista</t>
        </r>
      </text>
    </comment>
    <comment ref="D132" authorId="2" shapeId="0" xr:uid="{00000000-0006-0000-0100-0000C6000000}">
      <text>
        <r>
          <rPr>
            <sz val="11"/>
            <color theme="1"/>
            <rFont val="Calibri"/>
            <family val="2"/>
            <scheme val="minor"/>
          </rPr>
          <t>Introduzca un número con dos decimales como máximo. Debe ser igual o mayor a la "Cantidad Real Consumida"</t>
        </r>
      </text>
    </comment>
    <comment ref="E132" authorId="2" shapeId="0" xr:uid="{00000000-0006-0000-0100-0000C7000000}">
      <text>
        <r>
          <rPr>
            <sz val="11"/>
            <color theme="1"/>
            <rFont val="Calibri"/>
            <family val="2"/>
            <scheme val="minor"/>
          </rPr>
          <t>Introduzca un número con dos decimales como máximo</t>
        </r>
      </text>
    </comment>
    <comment ref="F132" authorId="2" shapeId="0" xr:uid="{00000000-0006-0000-0100-0000C8000000}">
      <text>
        <r>
          <rPr>
            <sz val="11"/>
            <color theme="1"/>
            <rFont val="Calibri"/>
            <family val="2"/>
            <scheme val="minor"/>
          </rPr>
          <t>Monto calculado automáticamente por el sistema</t>
        </r>
      </text>
    </comment>
    <comment ref="A137" authorId="2" shapeId="0" xr:uid="{00000000-0006-0000-0100-0000C9000000}">
      <text>
        <r>
          <rPr>
            <sz val="11"/>
            <color theme="1"/>
            <rFont val="Calibri"/>
            <family val="2"/>
            <scheme val="minor"/>
          </rPr>
          <t>Introducir un texto con el nombre o referencia de la contratación</t>
        </r>
      </text>
    </comment>
    <comment ref="B137" authorId="2" shapeId="0" xr:uid="{00000000-0006-0000-0100-0000CA000000}">
      <text>
        <r>
          <rPr>
            <sz val="11"/>
            <color theme="1"/>
            <rFont val="Calibri"/>
            <family val="2"/>
            <scheme val="minor"/>
          </rPr>
          <t>Introduzca un texto con la finalidad de la contratación</t>
        </r>
      </text>
    </comment>
    <comment ref="C137" authorId="2" shapeId="0" xr:uid="{00000000-0006-0000-0100-0000CB000000}">
      <text>
        <r>
          <rPr>
            <sz val="11"/>
            <color theme="1"/>
            <rFont val="Calibri"/>
            <family val="2"/>
            <scheme val="minor"/>
          </rPr>
          <t>Seleccionar un valor del listado</t>
        </r>
      </text>
    </comment>
    <comment ref="D137" authorId="2" shapeId="0" xr:uid="{00000000-0006-0000-0100-0000CC000000}">
      <text>
        <r>
          <rPr>
            <sz val="11"/>
            <color theme="1"/>
            <rFont val="Calibri"/>
            <family val="2"/>
            <scheme val="minor"/>
          </rPr>
          <t>Seleccione el tipo de procedimiento</t>
        </r>
      </text>
    </comment>
    <comment ref="E137" authorId="2" shapeId="0" xr:uid="{00000000-0006-0000-0100-0000CD000000}">
      <text>
        <r>
          <rPr>
            <sz val="11"/>
            <color theme="1"/>
            <rFont val="Calibri"/>
            <family val="2"/>
            <scheme val="minor"/>
          </rPr>
          <t>Seleccione un valor de la lista</t>
        </r>
      </text>
    </comment>
    <comment ref="F137" authorId="2" shapeId="0" xr:uid="{00000000-0006-0000-0100-0000CE000000}">
      <text>
        <r>
          <rPr>
            <sz val="11"/>
            <color theme="1"/>
            <rFont val="Calibri"/>
            <family val="2"/>
            <scheme val="minor"/>
          </rPr>
          <t>Introduzca el código SNIP</t>
        </r>
      </text>
    </comment>
    <comment ref="C138" authorId="2" shapeId="0" xr:uid="{00000000-0006-0000-0100-0000CF000000}">
      <text>
        <r>
          <rPr>
            <sz val="11"/>
            <color theme="1"/>
            <rFont val="Calibri"/>
            <family val="2"/>
            <scheme val="minor"/>
          </rPr>
          <t>Introduzca la fecha de inicio del proceso, en formato dd-mm-aaaa</t>
        </r>
      </text>
    </comment>
    <comment ref="F138"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xr:uid="{00000000-0006-0000-0100-0000D1000000}">
      <text/>
    </comment>
    <comment ref="C140" authorId="2" shapeId="0" xr:uid="{00000000-0006-0000-0100-0000D2000000}">
      <text>
        <r>
          <rPr>
            <sz val="11"/>
            <color theme="1"/>
            <rFont val="Calibri"/>
            <family val="2"/>
            <scheme val="minor"/>
          </rPr>
          <t>Introduzca la fecha prevista de adjudicación, en formato dd-mm-aaaa</t>
        </r>
      </text>
    </comment>
    <comment ref="F140" authorId="2" shapeId="0" xr:uid="{00000000-0006-0000-0100-0000D3000000}">
      <text/>
    </comment>
    <comment ref="F141" authorId="2" shapeId="0" xr:uid="{00000000-0006-0000-0100-0000D4000000}">
      <text/>
    </comment>
    <comment ref="A143" authorId="2" shapeId="0" xr:uid="{00000000-0006-0000-0100-0000D5000000}">
      <text>
        <r>
          <rPr>
            <sz val="11"/>
            <color theme="1"/>
            <rFont val="Calibri"/>
            <family val="2"/>
            <scheme val="minor"/>
          </rPr>
          <t>Introduzca un codigo UNSPSC</t>
        </r>
      </text>
    </comment>
    <comment ref="B143" authorId="2" shapeId="0" xr:uid="{00000000-0006-0000-0100-0000D6000000}">
      <text>
        <r>
          <rPr>
            <sz val="11"/>
            <color theme="1"/>
            <rFont val="Calibri"/>
            <family val="2"/>
            <scheme val="minor"/>
          </rPr>
          <t>Descripción calculada automáticamente a partir de código del artículo</t>
        </r>
      </text>
    </comment>
    <comment ref="C143" authorId="2" shapeId="0" xr:uid="{00000000-0006-0000-0100-0000D7000000}">
      <text>
        <r>
          <rPr>
            <sz val="11"/>
            <color theme="1"/>
            <rFont val="Calibri"/>
            <family val="2"/>
            <scheme val="minor"/>
          </rPr>
          <t>Seleccione un valor de la lista</t>
        </r>
      </text>
    </comment>
    <comment ref="D143" authorId="2" shapeId="0" xr:uid="{00000000-0006-0000-0100-0000D8000000}">
      <text>
        <r>
          <rPr>
            <sz val="11"/>
            <color theme="1"/>
            <rFont val="Calibri"/>
            <family val="2"/>
            <scheme val="minor"/>
          </rPr>
          <t>Introduzca un número con dos decimales como máximo. Debe ser igual o mayor a la "Cantidad Real Consumida"</t>
        </r>
      </text>
    </comment>
    <comment ref="E143" authorId="2" shapeId="0" xr:uid="{00000000-0006-0000-0100-0000D9000000}">
      <text>
        <r>
          <rPr>
            <sz val="11"/>
            <color theme="1"/>
            <rFont val="Calibri"/>
            <family val="2"/>
            <scheme val="minor"/>
          </rPr>
          <t>Introduzca un número con dos decimales como máximo</t>
        </r>
      </text>
    </comment>
    <comment ref="F143" authorId="2" shapeId="0" xr:uid="{00000000-0006-0000-0100-0000DA000000}">
      <text>
        <r>
          <rPr>
            <sz val="11"/>
            <color theme="1"/>
            <rFont val="Calibri"/>
            <family val="2"/>
            <scheme val="minor"/>
          </rPr>
          <t>Monto calculado automáticamente por el sistema</t>
        </r>
      </text>
    </comment>
    <comment ref="A148" authorId="2" shapeId="0" xr:uid="{00000000-0006-0000-0100-0000DB000000}">
      <text>
        <r>
          <rPr>
            <sz val="11"/>
            <color theme="1"/>
            <rFont val="Calibri"/>
            <family val="2"/>
            <scheme val="minor"/>
          </rPr>
          <t>Introducir un texto con el nombre o referencia de la contratación</t>
        </r>
      </text>
    </comment>
    <comment ref="B148" authorId="2" shapeId="0" xr:uid="{00000000-0006-0000-0100-0000DC000000}">
      <text>
        <r>
          <rPr>
            <sz val="11"/>
            <color theme="1"/>
            <rFont val="Calibri"/>
            <family val="2"/>
            <scheme val="minor"/>
          </rPr>
          <t>Introduzca un texto con la finalidad de la contratación</t>
        </r>
      </text>
    </comment>
    <comment ref="C148" authorId="2" shapeId="0" xr:uid="{00000000-0006-0000-0100-0000DD000000}">
      <text>
        <r>
          <rPr>
            <sz val="11"/>
            <color theme="1"/>
            <rFont val="Calibri"/>
            <family val="2"/>
            <scheme val="minor"/>
          </rPr>
          <t>Seleccionar un valor del listado</t>
        </r>
      </text>
    </comment>
    <comment ref="D148" authorId="2" shapeId="0" xr:uid="{00000000-0006-0000-0100-0000DE000000}">
      <text>
        <r>
          <rPr>
            <sz val="11"/>
            <color theme="1"/>
            <rFont val="Calibri"/>
            <family val="2"/>
            <scheme val="minor"/>
          </rPr>
          <t>Seleccione el tipo de procedimiento</t>
        </r>
      </text>
    </comment>
    <comment ref="E148" authorId="2" shapeId="0" xr:uid="{00000000-0006-0000-0100-0000DF000000}">
      <text>
        <r>
          <rPr>
            <sz val="11"/>
            <color theme="1"/>
            <rFont val="Calibri"/>
            <family val="2"/>
            <scheme val="minor"/>
          </rPr>
          <t>Seleccione un valor de la lista</t>
        </r>
      </text>
    </comment>
    <comment ref="F148" authorId="2" shapeId="0" xr:uid="{00000000-0006-0000-0100-0000E0000000}">
      <text>
        <r>
          <rPr>
            <sz val="11"/>
            <color theme="1"/>
            <rFont val="Calibri"/>
            <family val="2"/>
            <scheme val="minor"/>
          </rPr>
          <t>Introduzca el código SNIP</t>
        </r>
      </text>
    </comment>
    <comment ref="C149" authorId="2" shapeId="0" xr:uid="{00000000-0006-0000-0100-0000E1000000}">
      <text>
        <r>
          <rPr>
            <sz val="11"/>
            <color theme="1"/>
            <rFont val="Calibri"/>
            <family val="2"/>
            <scheme val="minor"/>
          </rPr>
          <t>Introduzca la fecha de inicio del proceso, en formato dd-mm-aaaa</t>
        </r>
      </text>
    </comment>
    <comment ref="F149"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00000000-0006-0000-0100-0000E3000000}">
      <text/>
    </comment>
    <comment ref="C151" authorId="2" shapeId="0" xr:uid="{00000000-0006-0000-0100-0000E4000000}">
      <text>
        <r>
          <rPr>
            <sz val="11"/>
            <color theme="1"/>
            <rFont val="Calibri"/>
            <family val="2"/>
            <scheme val="minor"/>
          </rPr>
          <t>Introduzca la fecha prevista de adjudicación, en formato dd-mm-aaaa</t>
        </r>
      </text>
    </comment>
    <comment ref="F151" authorId="2" shapeId="0" xr:uid="{00000000-0006-0000-0100-0000E5000000}">
      <text/>
    </comment>
    <comment ref="F152" authorId="2" shapeId="0" xr:uid="{00000000-0006-0000-0100-0000E6000000}">
      <text/>
    </comment>
    <comment ref="A154" authorId="2" shapeId="0" xr:uid="{00000000-0006-0000-0100-0000E7000000}">
      <text>
        <r>
          <rPr>
            <sz val="11"/>
            <color theme="1"/>
            <rFont val="Calibri"/>
            <family val="2"/>
            <scheme val="minor"/>
          </rPr>
          <t>Introduzca un codigo UNSPSC</t>
        </r>
      </text>
    </comment>
    <comment ref="B154" authorId="2" shapeId="0" xr:uid="{00000000-0006-0000-0100-0000E8000000}">
      <text>
        <r>
          <rPr>
            <sz val="11"/>
            <color theme="1"/>
            <rFont val="Calibri"/>
            <family val="2"/>
            <scheme val="minor"/>
          </rPr>
          <t>Descripción calculada automáticamente a partir de código del artículo</t>
        </r>
      </text>
    </comment>
    <comment ref="C154" authorId="2" shapeId="0" xr:uid="{00000000-0006-0000-0100-0000E9000000}">
      <text>
        <r>
          <rPr>
            <sz val="11"/>
            <color theme="1"/>
            <rFont val="Calibri"/>
            <family val="2"/>
            <scheme val="minor"/>
          </rPr>
          <t>Seleccione un valor de la lista</t>
        </r>
      </text>
    </comment>
    <comment ref="D154" authorId="2" shapeId="0" xr:uid="{00000000-0006-0000-0100-0000EA000000}">
      <text>
        <r>
          <rPr>
            <sz val="11"/>
            <color theme="1"/>
            <rFont val="Calibri"/>
            <family val="2"/>
            <scheme val="minor"/>
          </rPr>
          <t>Introduzca un número con dos decimales como máximo. Debe ser igual o mayor a la "Cantidad Real Consumida"</t>
        </r>
      </text>
    </comment>
    <comment ref="E154" authorId="2" shapeId="0" xr:uid="{00000000-0006-0000-0100-0000EB000000}">
      <text>
        <r>
          <rPr>
            <sz val="11"/>
            <color theme="1"/>
            <rFont val="Calibri"/>
            <family val="2"/>
            <scheme val="minor"/>
          </rPr>
          <t>Introduzca un número con dos decimales como máximo</t>
        </r>
      </text>
    </comment>
    <comment ref="F154" authorId="2" shapeId="0" xr:uid="{00000000-0006-0000-0100-0000EC000000}">
      <text>
        <r>
          <rPr>
            <sz val="11"/>
            <color theme="1"/>
            <rFont val="Calibri"/>
            <family val="2"/>
            <scheme val="minor"/>
          </rPr>
          <t>Monto calculado automáticamente por el sistema</t>
        </r>
      </text>
    </comment>
    <comment ref="A165" authorId="2" shapeId="0" xr:uid="{00000000-0006-0000-0100-0000ED000000}">
      <text>
        <r>
          <rPr>
            <sz val="11"/>
            <color theme="1"/>
            <rFont val="Calibri"/>
            <family val="2"/>
            <scheme val="minor"/>
          </rPr>
          <t>Introducir un texto con el nombre o referencia de la contratación</t>
        </r>
      </text>
    </comment>
    <comment ref="B165" authorId="2" shapeId="0" xr:uid="{00000000-0006-0000-0100-0000EE000000}">
      <text>
        <r>
          <rPr>
            <sz val="11"/>
            <color theme="1"/>
            <rFont val="Calibri"/>
            <family val="2"/>
            <scheme val="minor"/>
          </rPr>
          <t>Introduzca un texto con la finalidad de la contratación</t>
        </r>
      </text>
    </comment>
    <comment ref="C165" authorId="2" shapeId="0" xr:uid="{00000000-0006-0000-0100-0000EF000000}">
      <text>
        <r>
          <rPr>
            <sz val="11"/>
            <color theme="1"/>
            <rFont val="Calibri"/>
            <family val="2"/>
            <scheme val="minor"/>
          </rPr>
          <t>Seleccionar un valor del listado</t>
        </r>
      </text>
    </comment>
    <comment ref="D165" authorId="2" shapeId="0" xr:uid="{00000000-0006-0000-0100-0000F0000000}">
      <text>
        <r>
          <rPr>
            <sz val="11"/>
            <color theme="1"/>
            <rFont val="Calibri"/>
            <family val="2"/>
            <scheme val="minor"/>
          </rPr>
          <t>Seleccione el tipo de procedimiento</t>
        </r>
      </text>
    </comment>
    <comment ref="E165" authorId="2" shapeId="0" xr:uid="{00000000-0006-0000-0100-0000F1000000}">
      <text>
        <r>
          <rPr>
            <sz val="11"/>
            <color theme="1"/>
            <rFont val="Calibri"/>
            <family val="2"/>
            <scheme val="minor"/>
          </rPr>
          <t>Seleccione un valor de la lista</t>
        </r>
      </text>
    </comment>
    <comment ref="F165" authorId="2" shapeId="0" xr:uid="{00000000-0006-0000-0100-0000F2000000}">
      <text>
        <r>
          <rPr>
            <sz val="11"/>
            <color theme="1"/>
            <rFont val="Calibri"/>
            <family val="2"/>
            <scheme val="minor"/>
          </rPr>
          <t>Introduzca el código SNIP</t>
        </r>
      </text>
    </comment>
    <comment ref="C166" authorId="2" shapeId="0" xr:uid="{00000000-0006-0000-0100-0000F3000000}">
      <text>
        <r>
          <rPr>
            <sz val="11"/>
            <color theme="1"/>
            <rFont val="Calibri"/>
            <family val="2"/>
            <scheme val="minor"/>
          </rPr>
          <t>Introduzca la fecha de inicio del proceso, en formato dd-mm-aaaa</t>
        </r>
      </text>
    </comment>
    <comment ref="F166"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2" shapeId="0" xr:uid="{00000000-0006-0000-0100-0000F5000000}">
      <text/>
    </comment>
    <comment ref="C168" authorId="2" shapeId="0" xr:uid="{00000000-0006-0000-0100-0000F6000000}">
      <text>
        <r>
          <rPr>
            <sz val="11"/>
            <color theme="1"/>
            <rFont val="Calibri"/>
            <family val="2"/>
            <scheme val="minor"/>
          </rPr>
          <t>Introduzca la fecha prevista de adjudicación, en formato dd-mm-aaaa</t>
        </r>
      </text>
    </comment>
    <comment ref="F168" authorId="2" shapeId="0" xr:uid="{00000000-0006-0000-0100-0000F7000000}">
      <text/>
    </comment>
    <comment ref="F169" authorId="2" shapeId="0" xr:uid="{00000000-0006-0000-0100-0000F8000000}">
      <text/>
    </comment>
    <comment ref="A171" authorId="2" shapeId="0" xr:uid="{00000000-0006-0000-0100-0000F9000000}">
      <text>
        <r>
          <rPr>
            <sz val="11"/>
            <color theme="1"/>
            <rFont val="Calibri"/>
            <family val="2"/>
            <scheme val="minor"/>
          </rPr>
          <t>Introduzca un codigo UNSPSC</t>
        </r>
      </text>
    </comment>
    <comment ref="B171" authorId="2" shapeId="0" xr:uid="{00000000-0006-0000-0100-0000FA000000}">
      <text>
        <r>
          <rPr>
            <sz val="11"/>
            <color theme="1"/>
            <rFont val="Calibri"/>
            <family val="2"/>
            <scheme val="minor"/>
          </rPr>
          <t>Descripción calculada automáticamente a partir de código del artículo</t>
        </r>
      </text>
    </comment>
    <comment ref="C171" authorId="2" shapeId="0" xr:uid="{00000000-0006-0000-0100-0000FB000000}">
      <text>
        <r>
          <rPr>
            <sz val="11"/>
            <color theme="1"/>
            <rFont val="Calibri"/>
            <family val="2"/>
            <scheme val="minor"/>
          </rPr>
          <t>Seleccione un valor de la lista</t>
        </r>
      </text>
    </comment>
    <comment ref="D171" authorId="2" shapeId="0" xr:uid="{00000000-0006-0000-0100-0000FC000000}">
      <text>
        <r>
          <rPr>
            <sz val="11"/>
            <color theme="1"/>
            <rFont val="Calibri"/>
            <family val="2"/>
            <scheme val="minor"/>
          </rPr>
          <t>Introduzca un número con dos decimales como máximo. Debe ser igual o mayor a la "Cantidad Real Consumida"</t>
        </r>
      </text>
    </comment>
    <comment ref="E171" authorId="2" shapeId="0" xr:uid="{00000000-0006-0000-0100-0000FD000000}">
      <text>
        <r>
          <rPr>
            <sz val="11"/>
            <color theme="1"/>
            <rFont val="Calibri"/>
            <family val="2"/>
            <scheme val="minor"/>
          </rPr>
          <t>Introduzca un número con dos decimales como máximo</t>
        </r>
      </text>
    </comment>
    <comment ref="F171" authorId="2" shapeId="0" xr:uid="{00000000-0006-0000-0100-0000FE000000}">
      <text>
        <r>
          <rPr>
            <sz val="11"/>
            <color theme="1"/>
            <rFont val="Calibri"/>
            <family val="2"/>
            <scheme val="minor"/>
          </rPr>
          <t>Monto calculado automáticamente por el sistema</t>
        </r>
      </text>
    </comment>
    <comment ref="A182" authorId="2" shapeId="0" xr:uid="{00000000-0006-0000-0100-0000FF000000}">
      <text>
        <r>
          <rPr>
            <sz val="11"/>
            <color theme="1"/>
            <rFont val="Calibri"/>
            <family val="2"/>
            <scheme val="minor"/>
          </rPr>
          <t>Introducir un texto con el nombre o referencia de la contratación</t>
        </r>
      </text>
    </comment>
    <comment ref="B182" authorId="2" shapeId="0" xr:uid="{00000000-0006-0000-0100-000000010000}">
      <text>
        <r>
          <rPr>
            <sz val="11"/>
            <color theme="1"/>
            <rFont val="Calibri"/>
            <family val="2"/>
            <scheme val="minor"/>
          </rPr>
          <t>Introduzca un texto con la finalidad de la contratación</t>
        </r>
      </text>
    </comment>
    <comment ref="C182" authorId="2" shapeId="0" xr:uid="{00000000-0006-0000-0100-000001010000}">
      <text>
        <r>
          <rPr>
            <sz val="11"/>
            <color theme="1"/>
            <rFont val="Calibri"/>
            <family val="2"/>
            <scheme val="minor"/>
          </rPr>
          <t>Seleccionar un valor del listado</t>
        </r>
      </text>
    </comment>
    <comment ref="D182" authorId="2" shapeId="0" xr:uid="{00000000-0006-0000-0100-000002010000}">
      <text>
        <r>
          <rPr>
            <sz val="11"/>
            <color theme="1"/>
            <rFont val="Calibri"/>
            <family val="2"/>
            <scheme val="minor"/>
          </rPr>
          <t>Seleccione el tipo de procedimiento</t>
        </r>
      </text>
    </comment>
    <comment ref="E182" authorId="2" shapeId="0" xr:uid="{00000000-0006-0000-0100-000003010000}">
      <text>
        <r>
          <rPr>
            <sz val="11"/>
            <color theme="1"/>
            <rFont val="Calibri"/>
            <family val="2"/>
            <scheme val="minor"/>
          </rPr>
          <t>Seleccione un valor de la lista</t>
        </r>
      </text>
    </comment>
    <comment ref="F182" authorId="2" shapeId="0" xr:uid="{00000000-0006-0000-0100-000004010000}">
      <text>
        <r>
          <rPr>
            <sz val="11"/>
            <color theme="1"/>
            <rFont val="Calibri"/>
            <family val="2"/>
            <scheme val="minor"/>
          </rPr>
          <t>Introduzca el código SNIP</t>
        </r>
      </text>
    </comment>
    <comment ref="C183" authorId="2" shapeId="0" xr:uid="{00000000-0006-0000-0100-000005010000}">
      <text>
        <r>
          <rPr>
            <sz val="11"/>
            <color theme="1"/>
            <rFont val="Calibri"/>
            <family val="2"/>
            <scheme val="minor"/>
          </rPr>
          <t>Introduzca la fecha de inicio del proceso, en formato dd-mm-aaaa</t>
        </r>
      </text>
    </comment>
    <comment ref="F183"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00000000-0006-0000-0100-000007010000}">
      <text/>
    </comment>
    <comment ref="C185" authorId="2" shapeId="0" xr:uid="{00000000-0006-0000-0100-000008010000}">
      <text>
        <r>
          <rPr>
            <sz val="11"/>
            <color theme="1"/>
            <rFont val="Calibri"/>
            <family val="2"/>
            <scheme val="minor"/>
          </rPr>
          <t>Introduzca la fecha prevista de adjudicación, en formato dd-mm-aaaa</t>
        </r>
      </text>
    </comment>
    <comment ref="F185" authorId="2" shapeId="0" xr:uid="{00000000-0006-0000-0100-000009010000}">
      <text/>
    </comment>
    <comment ref="F186" authorId="2" shapeId="0" xr:uid="{00000000-0006-0000-0100-00000A010000}">
      <text/>
    </comment>
    <comment ref="A188" authorId="2" shapeId="0" xr:uid="{00000000-0006-0000-0100-00000B010000}">
      <text>
        <r>
          <rPr>
            <sz val="11"/>
            <color theme="1"/>
            <rFont val="Calibri"/>
            <family val="2"/>
            <scheme val="minor"/>
          </rPr>
          <t>Introduzca un codigo UNSPSC</t>
        </r>
      </text>
    </comment>
    <comment ref="B188" authorId="2" shapeId="0" xr:uid="{00000000-0006-0000-0100-00000C010000}">
      <text>
        <r>
          <rPr>
            <sz val="11"/>
            <color theme="1"/>
            <rFont val="Calibri"/>
            <family val="2"/>
            <scheme val="minor"/>
          </rPr>
          <t>Descripción calculada automáticamente a partir de código del artículo</t>
        </r>
      </text>
    </comment>
    <comment ref="C188" authorId="2" shapeId="0" xr:uid="{00000000-0006-0000-0100-00000D010000}">
      <text>
        <r>
          <rPr>
            <sz val="11"/>
            <color theme="1"/>
            <rFont val="Calibri"/>
            <family val="2"/>
            <scheme val="minor"/>
          </rPr>
          <t>Seleccione un valor de la lista</t>
        </r>
      </text>
    </comment>
    <comment ref="D188" authorId="2" shapeId="0" xr:uid="{00000000-0006-0000-0100-00000E010000}">
      <text>
        <r>
          <rPr>
            <sz val="11"/>
            <color theme="1"/>
            <rFont val="Calibri"/>
            <family val="2"/>
            <scheme val="minor"/>
          </rPr>
          <t>Introduzca un número con dos decimales como máximo. Debe ser igual o mayor a la "Cantidad Real Consumida"</t>
        </r>
      </text>
    </comment>
    <comment ref="E188" authorId="2" shapeId="0" xr:uid="{00000000-0006-0000-0100-00000F010000}">
      <text>
        <r>
          <rPr>
            <sz val="11"/>
            <color theme="1"/>
            <rFont val="Calibri"/>
            <family val="2"/>
            <scheme val="minor"/>
          </rPr>
          <t>Introduzca un número con dos decimales como máximo</t>
        </r>
      </text>
    </comment>
    <comment ref="F188" authorId="2" shapeId="0" xr:uid="{00000000-0006-0000-0100-000010010000}">
      <text>
        <r>
          <rPr>
            <sz val="11"/>
            <color theme="1"/>
            <rFont val="Calibri"/>
            <family val="2"/>
            <scheme val="minor"/>
          </rPr>
          <t>Monto calculado automáticamente por el sistema</t>
        </r>
      </text>
    </comment>
    <comment ref="A199" authorId="2" shapeId="0" xr:uid="{00000000-0006-0000-0100-000011010000}">
      <text>
        <r>
          <rPr>
            <sz val="11"/>
            <color theme="1"/>
            <rFont val="Calibri"/>
            <family val="2"/>
            <scheme val="minor"/>
          </rPr>
          <t>Introducir un texto con el nombre o referencia de la contratación</t>
        </r>
      </text>
    </comment>
    <comment ref="B199" authorId="2" shapeId="0" xr:uid="{00000000-0006-0000-0100-000012010000}">
      <text>
        <r>
          <rPr>
            <sz val="11"/>
            <color theme="1"/>
            <rFont val="Calibri"/>
            <family val="2"/>
            <scheme val="minor"/>
          </rPr>
          <t>Introduzca un texto con la finalidad de la contratación</t>
        </r>
      </text>
    </comment>
    <comment ref="C199" authorId="2" shapeId="0" xr:uid="{00000000-0006-0000-0100-000013010000}">
      <text>
        <r>
          <rPr>
            <sz val="11"/>
            <color theme="1"/>
            <rFont val="Calibri"/>
            <family val="2"/>
            <scheme val="minor"/>
          </rPr>
          <t>Seleccionar un valor del listado</t>
        </r>
      </text>
    </comment>
    <comment ref="D199" authorId="2" shapeId="0" xr:uid="{00000000-0006-0000-0100-000014010000}">
      <text>
        <r>
          <rPr>
            <sz val="11"/>
            <color theme="1"/>
            <rFont val="Calibri"/>
            <family val="2"/>
            <scheme val="minor"/>
          </rPr>
          <t>Seleccione el tipo de procedimiento</t>
        </r>
      </text>
    </comment>
    <comment ref="E199" authorId="2" shapeId="0" xr:uid="{00000000-0006-0000-0100-000015010000}">
      <text>
        <r>
          <rPr>
            <sz val="11"/>
            <color theme="1"/>
            <rFont val="Calibri"/>
            <family val="2"/>
            <scheme val="minor"/>
          </rPr>
          <t>Seleccione un valor de la lista</t>
        </r>
      </text>
    </comment>
    <comment ref="F199" authorId="2" shapeId="0" xr:uid="{00000000-0006-0000-0100-000016010000}">
      <text>
        <r>
          <rPr>
            <sz val="11"/>
            <color theme="1"/>
            <rFont val="Calibri"/>
            <family val="2"/>
            <scheme val="minor"/>
          </rPr>
          <t>Introduzca el código SNIP</t>
        </r>
      </text>
    </comment>
    <comment ref="C200" authorId="2" shapeId="0" xr:uid="{00000000-0006-0000-0100-000017010000}">
      <text>
        <r>
          <rPr>
            <sz val="11"/>
            <color theme="1"/>
            <rFont val="Calibri"/>
            <family val="2"/>
            <scheme val="minor"/>
          </rPr>
          <t>Introduzca la fecha de inicio del proceso, en formato dd-mm-aaaa</t>
        </r>
      </text>
    </comment>
    <comment ref="F200"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xr:uid="{00000000-0006-0000-0100-000019010000}">
      <text/>
    </comment>
    <comment ref="C202" authorId="2" shapeId="0" xr:uid="{00000000-0006-0000-0100-00001A010000}">
      <text>
        <r>
          <rPr>
            <sz val="11"/>
            <color theme="1"/>
            <rFont val="Calibri"/>
            <family val="2"/>
            <scheme val="minor"/>
          </rPr>
          <t>Introduzca la fecha prevista de adjudicación, en formato dd-mm-aaaa</t>
        </r>
      </text>
    </comment>
    <comment ref="F202" authorId="2" shapeId="0" xr:uid="{00000000-0006-0000-0100-00001B010000}">
      <text/>
    </comment>
    <comment ref="F203" authorId="2" shapeId="0" xr:uid="{00000000-0006-0000-0100-00001C010000}">
      <text/>
    </comment>
    <comment ref="A205" authorId="2" shapeId="0" xr:uid="{00000000-0006-0000-0100-00001D010000}">
      <text>
        <r>
          <rPr>
            <sz val="11"/>
            <color theme="1"/>
            <rFont val="Calibri"/>
            <family val="2"/>
            <scheme val="minor"/>
          </rPr>
          <t>Introduzca un codigo UNSPSC</t>
        </r>
      </text>
    </comment>
    <comment ref="B205" authorId="2" shapeId="0" xr:uid="{00000000-0006-0000-0100-00001E010000}">
      <text>
        <r>
          <rPr>
            <sz val="11"/>
            <color theme="1"/>
            <rFont val="Calibri"/>
            <family val="2"/>
            <scheme val="minor"/>
          </rPr>
          <t>Descripción calculada automáticamente a partir de código del artículo</t>
        </r>
      </text>
    </comment>
    <comment ref="C205" authorId="2" shapeId="0" xr:uid="{00000000-0006-0000-0100-00001F010000}">
      <text>
        <r>
          <rPr>
            <sz val="11"/>
            <color theme="1"/>
            <rFont val="Calibri"/>
            <family val="2"/>
            <scheme val="minor"/>
          </rPr>
          <t>Seleccione un valor de la lista</t>
        </r>
      </text>
    </comment>
    <comment ref="D205" authorId="2" shapeId="0" xr:uid="{00000000-0006-0000-0100-000020010000}">
      <text>
        <r>
          <rPr>
            <sz val="11"/>
            <color theme="1"/>
            <rFont val="Calibri"/>
            <family val="2"/>
            <scheme val="minor"/>
          </rPr>
          <t>Introduzca un número con dos decimales como máximo. Debe ser igual o mayor a la "Cantidad Real Consumida"</t>
        </r>
      </text>
    </comment>
    <comment ref="E205" authorId="2" shapeId="0" xr:uid="{00000000-0006-0000-0100-000021010000}">
      <text>
        <r>
          <rPr>
            <sz val="11"/>
            <color theme="1"/>
            <rFont val="Calibri"/>
            <family val="2"/>
            <scheme val="minor"/>
          </rPr>
          <t>Introduzca un número con dos decimales como máximo</t>
        </r>
      </text>
    </comment>
    <comment ref="F205" authorId="2" shapeId="0" xr:uid="{00000000-0006-0000-0100-000022010000}">
      <text>
        <r>
          <rPr>
            <sz val="11"/>
            <color theme="1"/>
            <rFont val="Calibri"/>
            <family val="2"/>
            <scheme val="minor"/>
          </rPr>
          <t>Monto calculado automáticamente por el sistema</t>
        </r>
      </text>
    </comment>
    <comment ref="A216" authorId="2" shapeId="0" xr:uid="{00000000-0006-0000-0100-000023010000}">
      <text>
        <r>
          <rPr>
            <sz val="11"/>
            <color theme="1"/>
            <rFont val="Calibri"/>
            <family val="2"/>
            <scheme val="minor"/>
          </rPr>
          <t>Introducir un texto con el nombre o referencia de la contratación</t>
        </r>
      </text>
    </comment>
    <comment ref="B216" authorId="2" shapeId="0" xr:uid="{00000000-0006-0000-0100-000024010000}">
      <text>
        <r>
          <rPr>
            <sz val="11"/>
            <color theme="1"/>
            <rFont val="Calibri"/>
            <family val="2"/>
            <scheme val="minor"/>
          </rPr>
          <t>Introduzca un texto con la finalidad de la contratación</t>
        </r>
      </text>
    </comment>
    <comment ref="C216" authorId="2" shapeId="0" xr:uid="{00000000-0006-0000-0100-000025010000}">
      <text>
        <r>
          <rPr>
            <sz val="11"/>
            <color theme="1"/>
            <rFont val="Calibri"/>
            <family val="2"/>
            <scheme val="minor"/>
          </rPr>
          <t>Seleccionar un valor del listado</t>
        </r>
      </text>
    </comment>
    <comment ref="D216" authorId="2" shapeId="0" xr:uid="{00000000-0006-0000-0100-000026010000}">
      <text>
        <r>
          <rPr>
            <sz val="11"/>
            <color theme="1"/>
            <rFont val="Calibri"/>
            <family val="2"/>
            <scheme val="minor"/>
          </rPr>
          <t>Seleccione el tipo de procedimiento</t>
        </r>
      </text>
    </comment>
    <comment ref="E216" authorId="2" shapeId="0" xr:uid="{00000000-0006-0000-0100-000027010000}">
      <text>
        <r>
          <rPr>
            <sz val="11"/>
            <color theme="1"/>
            <rFont val="Calibri"/>
            <family val="2"/>
            <scheme val="minor"/>
          </rPr>
          <t>Seleccione un valor de la lista</t>
        </r>
      </text>
    </comment>
    <comment ref="F216" authorId="2" shapeId="0" xr:uid="{00000000-0006-0000-0100-000028010000}">
      <text>
        <r>
          <rPr>
            <sz val="11"/>
            <color theme="1"/>
            <rFont val="Calibri"/>
            <family val="2"/>
            <scheme val="minor"/>
          </rPr>
          <t>Introduzca el código SNIP</t>
        </r>
      </text>
    </comment>
    <comment ref="C217" authorId="2" shapeId="0" xr:uid="{00000000-0006-0000-0100-000029010000}">
      <text>
        <r>
          <rPr>
            <sz val="11"/>
            <color theme="1"/>
            <rFont val="Calibri"/>
            <family val="2"/>
            <scheme val="minor"/>
          </rPr>
          <t>Introduzca la fecha de inicio del proceso, en formato dd-mm-aaaa</t>
        </r>
      </text>
    </comment>
    <comment ref="F217"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shapeId="0" xr:uid="{00000000-0006-0000-0100-00002B010000}">
      <text/>
    </comment>
    <comment ref="C219" authorId="2" shapeId="0" xr:uid="{00000000-0006-0000-0100-00002C010000}">
      <text>
        <r>
          <rPr>
            <sz val="11"/>
            <color theme="1"/>
            <rFont val="Calibri"/>
            <family val="2"/>
            <scheme val="minor"/>
          </rPr>
          <t>Introduzca la fecha prevista de adjudicación, en formato dd-mm-aaaa</t>
        </r>
      </text>
    </comment>
    <comment ref="F219" authorId="2" shapeId="0" xr:uid="{00000000-0006-0000-0100-00002D010000}">
      <text/>
    </comment>
    <comment ref="F220" authorId="2" shapeId="0" xr:uid="{00000000-0006-0000-0100-00002E010000}">
      <text/>
    </comment>
    <comment ref="A222" authorId="2" shapeId="0" xr:uid="{00000000-0006-0000-0100-00002F010000}">
      <text>
        <r>
          <rPr>
            <sz val="11"/>
            <color theme="1"/>
            <rFont val="Calibri"/>
            <family val="2"/>
            <scheme val="minor"/>
          </rPr>
          <t>Introduzca un codigo UNSPSC</t>
        </r>
      </text>
    </comment>
    <comment ref="B222" authorId="2" shapeId="0" xr:uid="{00000000-0006-0000-0100-000030010000}">
      <text>
        <r>
          <rPr>
            <sz val="11"/>
            <color theme="1"/>
            <rFont val="Calibri"/>
            <family val="2"/>
            <scheme val="minor"/>
          </rPr>
          <t>Descripción calculada automáticamente a partir de código del artículo</t>
        </r>
      </text>
    </comment>
    <comment ref="C222" authorId="2" shapeId="0" xr:uid="{00000000-0006-0000-0100-000031010000}">
      <text>
        <r>
          <rPr>
            <sz val="11"/>
            <color theme="1"/>
            <rFont val="Calibri"/>
            <family val="2"/>
            <scheme val="minor"/>
          </rPr>
          <t>Seleccione un valor de la lista</t>
        </r>
      </text>
    </comment>
    <comment ref="D222" authorId="2" shapeId="0" xr:uid="{00000000-0006-0000-0100-000032010000}">
      <text>
        <r>
          <rPr>
            <sz val="11"/>
            <color theme="1"/>
            <rFont val="Calibri"/>
            <family val="2"/>
            <scheme val="minor"/>
          </rPr>
          <t>Introduzca un número con dos decimales como máximo. Debe ser igual o mayor a la "Cantidad Real Consumida"</t>
        </r>
      </text>
    </comment>
    <comment ref="E222" authorId="2" shapeId="0" xr:uid="{00000000-0006-0000-0100-000033010000}">
      <text>
        <r>
          <rPr>
            <sz val="11"/>
            <color theme="1"/>
            <rFont val="Calibri"/>
            <family val="2"/>
            <scheme val="minor"/>
          </rPr>
          <t>Introduzca un número con dos decimales como máximo</t>
        </r>
      </text>
    </comment>
    <comment ref="F222" authorId="2" shapeId="0" xr:uid="{00000000-0006-0000-0100-000034010000}">
      <text>
        <r>
          <rPr>
            <sz val="11"/>
            <color theme="1"/>
            <rFont val="Calibri"/>
            <family val="2"/>
            <scheme val="minor"/>
          </rPr>
          <t>Monto calculado automáticamente por el sistema</t>
        </r>
      </text>
    </comment>
    <comment ref="A231" authorId="2" shapeId="0" xr:uid="{00000000-0006-0000-0100-000035010000}">
      <text>
        <r>
          <rPr>
            <sz val="11"/>
            <color theme="1"/>
            <rFont val="Calibri"/>
            <family val="2"/>
            <scheme val="minor"/>
          </rPr>
          <t>Introducir un texto con el nombre o referencia de la contratación</t>
        </r>
      </text>
    </comment>
    <comment ref="B231" authorId="2" shapeId="0" xr:uid="{00000000-0006-0000-0100-000036010000}">
      <text>
        <r>
          <rPr>
            <sz val="11"/>
            <color theme="1"/>
            <rFont val="Calibri"/>
            <family val="2"/>
            <scheme val="minor"/>
          </rPr>
          <t>Introduzca un texto con la finalidad de la contratación</t>
        </r>
      </text>
    </comment>
    <comment ref="C231" authorId="2" shapeId="0" xr:uid="{00000000-0006-0000-0100-000037010000}">
      <text>
        <r>
          <rPr>
            <sz val="11"/>
            <color theme="1"/>
            <rFont val="Calibri"/>
            <family val="2"/>
            <scheme val="minor"/>
          </rPr>
          <t>Seleccionar un valor del listado</t>
        </r>
      </text>
    </comment>
    <comment ref="D231" authorId="2" shapeId="0" xr:uid="{00000000-0006-0000-0100-000038010000}">
      <text>
        <r>
          <rPr>
            <sz val="11"/>
            <color theme="1"/>
            <rFont val="Calibri"/>
            <family val="2"/>
            <scheme val="minor"/>
          </rPr>
          <t>Seleccione el tipo de procedimiento</t>
        </r>
      </text>
    </comment>
    <comment ref="E231" authorId="2" shapeId="0" xr:uid="{00000000-0006-0000-0100-000039010000}">
      <text>
        <r>
          <rPr>
            <sz val="11"/>
            <color theme="1"/>
            <rFont val="Calibri"/>
            <family val="2"/>
            <scheme val="minor"/>
          </rPr>
          <t>Seleccione un valor de la lista</t>
        </r>
      </text>
    </comment>
    <comment ref="F231" authorId="2" shapeId="0" xr:uid="{00000000-0006-0000-0100-00003A010000}">
      <text>
        <r>
          <rPr>
            <sz val="11"/>
            <color theme="1"/>
            <rFont val="Calibri"/>
            <family val="2"/>
            <scheme val="minor"/>
          </rPr>
          <t>Introduzca el código SNIP</t>
        </r>
      </text>
    </comment>
    <comment ref="C232" authorId="2" shapeId="0" xr:uid="{00000000-0006-0000-0100-00003B010000}">
      <text>
        <r>
          <rPr>
            <sz val="11"/>
            <color theme="1"/>
            <rFont val="Calibri"/>
            <family val="2"/>
            <scheme val="minor"/>
          </rPr>
          <t>Introduzca la fecha de inicio del proceso, en formato dd-mm-aaaa</t>
        </r>
      </text>
    </comment>
    <comment ref="F232"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2" shapeId="0" xr:uid="{00000000-0006-0000-0100-00003D010000}">
      <text/>
    </comment>
    <comment ref="C234" authorId="2" shapeId="0" xr:uid="{00000000-0006-0000-0100-00003E010000}">
      <text>
        <r>
          <rPr>
            <sz val="11"/>
            <color theme="1"/>
            <rFont val="Calibri"/>
            <family val="2"/>
            <scheme val="minor"/>
          </rPr>
          <t>Introduzca la fecha prevista de adjudicación, en formato dd-mm-aaaa</t>
        </r>
      </text>
    </comment>
    <comment ref="F234" authorId="2" shapeId="0" xr:uid="{00000000-0006-0000-0100-00003F010000}">
      <text/>
    </comment>
    <comment ref="F235" authorId="2" shapeId="0" xr:uid="{00000000-0006-0000-0100-000040010000}">
      <text/>
    </comment>
    <comment ref="A237" authorId="2" shapeId="0" xr:uid="{00000000-0006-0000-0100-000041010000}">
      <text>
        <r>
          <rPr>
            <sz val="11"/>
            <color theme="1"/>
            <rFont val="Calibri"/>
            <family val="2"/>
            <scheme val="minor"/>
          </rPr>
          <t>Introduzca un codigo UNSPSC</t>
        </r>
      </text>
    </comment>
    <comment ref="B237" authorId="2" shapeId="0" xr:uid="{00000000-0006-0000-0100-000042010000}">
      <text>
        <r>
          <rPr>
            <sz val="11"/>
            <color theme="1"/>
            <rFont val="Calibri"/>
            <family val="2"/>
            <scheme val="minor"/>
          </rPr>
          <t>Descripción calculada automáticamente a partir de código del artículo</t>
        </r>
      </text>
    </comment>
    <comment ref="C237" authorId="2" shapeId="0" xr:uid="{00000000-0006-0000-0100-000043010000}">
      <text>
        <r>
          <rPr>
            <sz val="11"/>
            <color theme="1"/>
            <rFont val="Calibri"/>
            <family val="2"/>
            <scheme val="minor"/>
          </rPr>
          <t>Seleccione un valor de la lista</t>
        </r>
      </text>
    </comment>
    <comment ref="D237" authorId="2" shapeId="0" xr:uid="{00000000-0006-0000-0100-000044010000}">
      <text>
        <r>
          <rPr>
            <sz val="11"/>
            <color theme="1"/>
            <rFont val="Calibri"/>
            <family val="2"/>
            <scheme val="minor"/>
          </rPr>
          <t>Introduzca un número con dos decimales como máximo. Debe ser igual o mayor a la "Cantidad Real Consumida"</t>
        </r>
      </text>
    </comment>
    <comment ref="E237" authorId="2" shapeId="0" xr:uid="{00000000-0006-0000-0100-000045010000}">
      <text>
        <r>
          <rPr>
            <sz val="11"/>
            <color theme="1"/>
            <rFont val="Calibri"/>
            <family val="2"/>
            <scheme val="minor"/>
          </rPr>
          <t>Introduzca un número con dos decimales como máximo</t>
        </r>
      </text>
    </comment>
    <comment ref="F237" authorId="2" shapeId="0" xr:uid="{00000000-0006-0000-0100-000046010000}">
      <text>
        <r>
          <rPr>
            <sz val="11"/>
            <color theme="1"/>
            <rFont val="Calibri"/>
            <family val="2"/>
            <scheme val="minor"/>
          </rPr>
          <t>Monto calculado automáticamente por el sistema</t>
        </r>
      </text>
    </comment>
    <comment ref="A246" authorId="2" shapeId="0" xr:uid="{00000000-0006-0000-0100-000047010000}">
      <text>
        <r>
          <rPr>
            <sz val="11"/>
            <color theme="1"/>
            <rFont val="Calibri"/>
            <family val="2"/>
            <scheme val="minor"/>
          </rPr>
          <t>Introducir un texto con el nombre o referencia de la contratación</t>
        </r>
      </text>
    </comment>
    <comment ref="B246" authorId="2" shapeId="0" xr:uid="{00000000-0006-0000-0100-000048010000}">
      <text>
        <r>
          <rPr>
            <sz val="11"/>
            <color theme="1"/>
            <rFont val="Calibri"/>
            <family val="2"/>
            <scheme val="minor"/>
          </rPr>
          <t>Introduzca un texto con la finalidad de la contratación</t>
        </r>
      </text>
    </comment>
    <comment ref="C246" authorId="2" shapeId="0" xr:uid="{00000000-0006-0000-0100-000049010000}">
      <text>
        <r>
          <rPr>
            <sz val="11"/>
            <color theme="1"/>
            <rFont val="Calibri"/>
            <family val="2"/>
            <scheme val="minor"/>
          </rPr>
          <t>Seleccionar un valor del listado</t>
        </r>
      </text>
    </comment>
    <comment ref="D246" authorId="2" shapeId="0" xr:uid="{00000000-0006-0000-0100-00004A010000}">
      <text>
        <r>
          <rPr>
            <sz val="11"/>
            <color theme="1"/>
            <rFont val="Calibri"/>
            <family val="2"/>
            <scheme val="minor"/>
          </rPr>
          <t>Seleccione el tipo de procedimiento</t>
        </r>
      </text>
    </comment>
    <comment ref="E246" authorId="2" shapeId="0" xr:uid="{00000000-0006-0000-0100-00004B010000}">
      <text>
        <r>
          <rPr>
            <sz val="11"/>
            <color theme="1"/>
            <rFont val="Calibri"/>
            <family val="2"/>
            <scheme val="minor"/>
          </rPr>
          <t>Seleccione un valor de la lista</t>
        </r>
      </text>
    </comment>
    <comment ref="F246" authorId="2" shapeId="0" xr:uid="{00000000-0006-0000-0100-00004C010000}">
      <text>
        <r>
          <rPr>
            <sz val="11"/>
            <color theme="1"/>
            <rFont val="Calibri"/>
            <family val="2"/>
            <scheme val="minor"/>
          </rPr>
          <t>Introduzca el código SNIP</t>
        </r>
      </text>
    </comment>
    <comment ref="C247" authorId="2" shapeId="0" xr:uid="{00000000-0006-0000-0100-00004D010000}">
      <text>
        <r>
          <rPr>
            <sz val="11"/>
            <color theme="1"/>
            <rFont val="Calibri"/>
            <family val="2"/>
            <scheme val="minor"/>
          </rPr>
          <t>Introduzca la fecha de inicio del proceso, en formato dd-mm-aaaa</t>
        </r>
      </text>
    </comment>
    <comment ref="F247"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 authorId="2" shapeId="0" xr:uid="{00000000-0006-0000-0100-00004F010000}">
      <text/>
    </comment>
    <comment ref="C249" authorId="2" shapeId="0" xr:uid="{00000000-0006-0000-0100-000050010000}">
      <text>
        <r>
          <rPr>
            <sz val="11"/>
            <color theme="1"/>
            <rFont val="Calibri"/>
            <family val="2"/>
            <scheme val="minor"/>
          </rPr>
          <t>Introduzca la fecha prevista de adjudicación, en formato dd-mm-aaaa</t>
        </r>
      </text>
    </comment>
    <comment ref="F249" authorId="2" shapeId="0" xr:uid="{00000000-0006-0000-0100-000051010000}">
      <text/>
    </comment>
    <comment ref="F250" authorId="2" shapeId="0" xr:uid="{00000000-0006-0000-0100-000052010000}">
      <text/>
    </comment>
    <comment ref="A252" authorId="2" shapeId="0" xr:uid="{00000000-0006-0000-0100-000053010000}">
      <text>
        <r>
          <rPr>
            <sz val="11"/>
            <color theme="1"/>
            <rFont val="Calibri"/>
            <family val="2"/>
            <scheme val="minor"/>
          </rPr>
          <t>Introduzca un codigo UNSPSC</t>
        </r>
      </text>
    </comment>
    <comment ref="B252" authorId="2" shapeId="0" xr:uid="{00000000-0006-0000-0100-000054010000}">
      <text>
        <r>
          <rPr>
            <sz val="11"/>
            <color theme="1"/>
            <rFont val="Calibri"/>
            <family val="2"/>
            <scheme val="minor"/>
          </rPr>
          <t>Descripción calculada automáticamente a partir de código del artículo</t>
        </r>
      </text>
    </comment>
    <comment ref="C252" authorId="2" shapeId="0" xr:uid="{00000000-0006-0000-0100-000055010000}">
      <text>
        <r>
          <rPr>
            <sz val="11"/>
            <color theme="1"/>
            <rFont val="Calibri"/>
            <family val="2"/>
            <scheme val="minor"/>
          </rPr>
          <t>Seleccione un valor de la lista</t>
        </r>
      </text>
    </comment>
    <comment ref="D252" authorId="2" shapeId="0" xr:uid="{00000000-0006-0000-0100-000056010000}">
      <text>
        <r>
          <rPr>
            <sz val="11"/>
            <color theme="1"/>
            <rFont val="Calibri"/>
            <family val="2"/>
            <scheme val="minor"/>
          </rPr>
          <t>Introduzca un número con dos decimales como máximo. Debe ser igual o mayor a la "Cantidad Real Consumida"</t>
        </r>
      </text>
    </comment>
    <comment ref="E252" authorId="2" shapeId="0" xr:uid="{00000000-0006-0000-0100-000057010000}">
      <text>
        <r>
          <rPr>
            <sz val="11"/>
            <color theme="1"/>
            <rFont val="Calibri"/>
            <family val="2"/>
            <scheme val="minor"/>
          </rPr>
          <t>Introduzca un número con dos decimales como máximo</t>
        </r>
      </text>
    </comment>
    <comment ref="F252" authorId="2" shapeId="0" xr:uid="{00000000-0006-0000-0100-000058010000}">
      <text>
        <r>
          <rPr>
            <sz val="11"/>
            <color theme="1"/>
            <rFont val="Calibri"/>
            <family val="2"/>
            <scheme val="minor"/>
          </rPr>
          <t>Monto calculado automáticamente por el sistema</t>
        </r>
      </text>
    </comment>
    <comment ref="A261" authorId="2" shapeId="0" xr:uid="{00000000-0006-0000-0100-000059010000}">
      <text>
        <r>
          <rPr>
            <sz val="11"/>
            <color theme="1"/>
            <rFont val="Calibri"/>
            <family val="2"/>
            <scheme val="minor"/>
          </rPr>
          <t>Introducir un texto con el nombre o referencia de la contratación</t>
        </r>
      </text>
    </comment>
    <comment ref="B261" authorId="2" shapeId="0" xr:uid="{00000000-0006-0000-0100-00005A010000}">
      <text>
        <r>
          <rPr>
            <sz val="11"/>
            <color theme="1"/>
            <rFont val="Calibri"/>
            <family val="2"/>
            <scheme val="minor"/>
          </rPr>
          <t>Introduzca un texto con la finalidad de la contratación</t>
        </r>
      </text>
    </comment>
    <comment ref="C261" authorId="2" shapeId="0" xr:uid="{00000000-0006-0000-0100-00005B010000}">
      <text>
        <r>
          <rPr>
            <sz val="11"/>
            <color theme="1"/>
            <rFont val="Calibri"/>
            <family val="2"/>
            <scheme val="minor"/>
          </rPr>
          <t>Seleccionar un valor del listado</t>
        </r>
      </text>
    </comment>
    <comment ref="D261" authorId="2" shapeId="0" xr:uid="{00000000-0006-0000-0100-00005C010000}">
      <text>
        <r>
          <rPr>
            <sz val="11"/>
            <color theme="1"/>
            <rFont val="Calibri"/>
            <family val="2"/>
            <scheme val="minor"/>
          </rPr>
          <t>Seleccione el tipo de procedimiento</t>
        </r>
      </text>
    </comment>
    <comment ref="E261" authorId="2" shapeId="0" xr:uid="{00000000-0006-0000-0100-00005D010000}">
      <text>
        <r>
          <rPr>
            <sz val="11"/>
            <color theme="1"/>
            <rFont val="Calibri"/>
            <family val="2"/>
            <scheme val="minor"/>
          </rPr>
          <t>Seleccione un valor de la lista</t>
        </r>
      </text>
    </comment>
    <comment ref="F261" authorId="2" shapeId="0" xr:uid="{00000000-0006-0000-0100-00005E010000}">
      <text>
        <r>
          <rPr>
            <sz val="11"/>
            <color theme="1"/>
            <rFont val="Calibri"/>
            <family val="2"/>
            <scheme val="minor"/>
          </rPr>
          <t>Introduzca el código SNIP</t>
        </r>
      </text>
    </comment>
    <comment ref="C262" authorId="2" shapeId="0" xr:uid="{00000000-0006-0000-0100-00005F010000}">
      <text>
        <r>
          <rPr>
            <sz val="11"/>
            <color theme="1"/>
            <rFont val="Calibri"/>
            <family val="2"/>
            <scheme val="minor"/>
          </rPr>
          <t>Introduzca la fecha de inicio del proceso, en formato dd-mm-aaaa</t>
        </r>
      </text>
    </comment>
    <comment ref="F262"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00000000-0006-0000-0100-000061010000}">
      <text/>
    </comment>
    <comment ref="C264" authorId="2" shapeId="0" xr:uid="{00000000-0006-0000-0100-000062010000}">
      <text>
        <r>
          <rPr>
            <sz val="11"/>
            <color theme="1"/>
            <rFont val="Calibri"/>
            <family val="2"/>
            <scheme val="minor"/>
          </rPr>
          <t>Introduzca la fecha prevista de adjudicación, en formato dd-mm-aaaa</t>
        </r>
      </text>
    </comment>
    <comment ref="F264" authorId="2" shapeId="0" xr:uid="{00000000-0006-0000-0100-000063010000}">
      <text/>
    </comment>
    <comment ref="F265" authorId="2" shapeId="0" xr:uid="{00000000-0006-0000-0100-000064010000}">
      <text/>
    </comment>
    <comment ref="A267" authorId="2" shapeId="0" xr:uid="{00000000-0006-0000-0100-000065010000}">
      <text>
        <r>
          <rPr>
            <sz val="11"/>
            <color theme="1"/>
            <rFont val="Calibri"/>
            <family val="2"/>
            <scheme val="minor"/>
          </rPr>
          <t>Introduzca un codigo UNSPSC</t>
        </r>
      </text>
    </comment>
    <comment ref="B267" authorId="2" shapeId="0" xr:uid="{00000000-0006-0000-0100-000066010000}">
      <text>
        <r>
          <rPr>
            <sz val="11"/>
            <color theme="1"/>
            <rFont val="Calibri"/>
            <family val="2"/>
            <scheme val="minor"/>
          </rPr>
          <t>Descripción calculada automáticamente a partir de código del artículo</t>
        </r>
      </text>
    </comment>
    <comment ref="C267" authorId="2" shapeId="0" xr:uid="{00000000-0006-0000-0100-000067010000}">
      <text>
        <r>
          <rPr>
            <sz val="11"/>
            <color theme="1"/>
            <rFont val="Calibri"/>
            <family val="2"/>
            <scheme val="minor"/>
          </rPr>
          <t>Seleccione un valor de la lista</t>
        </r>
      </text>
    </comment>
    <comment ref="D267" authorId="2" shapeId="0" xr:uid="{00000000-0006-0000-0100-000068010000}">
      <text>
        <r>
          <rPr>
            <sz val="11"/>
            <color theme="1"/>
            <rFont val="Calibri"/>
            <family val="2"/>
            <scheme val="minor"/>
          </rPr>
          <t>Introduzca un número con dos decimales como máximo. Debe ser igual o mayor a la "Cantidad Real Consumida"</t>
        </r>
      </text>
    </comment>
    <comment ref="E267" authorId="2" shapeId="0" xr:uid="{00000000-0006-0000-0100-000069010000}">
      <text>
        <r>
          <rPr>
            <sz val="11"/>
            <color theme="1"/>
            <rFont val="Calibri"/>
            <family val="2"/>
            <scheme val="minor"/>
          </rPr>
          <t>Introduzca un número con dos decimales como máximo</t>
        </r>
      </text>
    </comment>
    <comment ref="F267" authorId="2" shapeId="0" xr:uid="{00000000-0006-0000-0100-00006A010000}">
      <text>
        <r>
          <rPr>
            <sz val="11"/>
            <color theme="1"/>
            <rFont val="Calibri"/>
            <family val="2"/>
            <scheme val="minor"/>
          </rPr>
          <t>Monto calculado automáticamente por el sistema</t>
        </r>
      </text>
    </comment>
    <comment ref="A276" authorId="2" shapeId="0" xr:uid="{00000000-0006-0000-0100-00006B010000}">
      <text>
        <r>
          <rPr>
            <sz val="11"/>
            <color theme="1"/>
            <rFont val="Calibri"/>
            <family val="2"/>
            <scheme val="minor"/>
          </rPr>
          <t>Introducir un texto con el nombre o referencia de la contratación</t>
        </r>
      </text>
    </comment>
    <comment ref="B276" authorId="2" shapeId="0" xr:uid="{00000000-0006-0000-0100-00006C010000}">
      <text>
        <r>
          <rPr>
            <sz val="11"/>
            <color theme="1"/>
            <rFont val="Calibri"/>
            <family val="2"/>
            <scheme val="minor"/>
          </rPr>
          <t>Introduzca un texto con la finalidad de la contratación</t>
        </r>
      </text>
    </comment>
    <comment ref="C276" authorId="2" shapeId="0" xr:uid="{00000000-0006-0000-0100-00006D010000}">
      <text>
        <r>
          <rPr>
            <sz val="11"/>
            <color theme="1"/>
            <rFont val="Calibri"/>
            <family val="2"/>
            <scheme val="minor"/>
          </rPr>
          <t>Seleccionar un valor del listado</t>
        </r>
      </text>
    </comment>
    <comment ref="D276" authorId="2" shapeId="0" xr:uid="{00000000-0006-0000-0100-00006E010000}">
      <text>
        <r>
          <rPr>
            <sz val="11"/>
            <color theme="1"/>
            <rFont val="Calibri"/>
            <family val="2"/>
            <scheme val="minor"/>
          </rPr>
          <t>Seleccione el tipo de procedimiento</t>
        </r>
      </text>
    </comment>
    <comment ref="E276" authorId="2" shapeId="0" xr:uid="{00000000-0006-0000-0100-00006F010000}">
      <text>
        <r>
          <rPr>
            <sz val="11"/>
            <color theme="1"/>
            <rFont val="Calibri"/>
            <family val="2"/>
            <scheme val="minor"/>
          </rPr>
          <t>Seleccione un valor de la lista</t>
        </r>
      </text>
    </comment>
    <comment ref="F276" authorId="2" shapeId="0" xr:uid="{00000000-0006-0000-0100-000070010000}">
      <text>
        <r>
          <rPr>
            <sz val="11"/>
            <color theme="1"/>
            <rFont val="Calibri"/>
            <family val="2"/>
            <scheme val="minor"/>
          </rPr>
          <t>Introduzca el código SNIP</t>
        </r>
      </text>
    </comment>
    <comment ref="C277" authorId="2" shapeId="0" xr:uid="{00000000-0006-0000-0100-000071010000}">
      <text>
        <r>
          <rPr>
            <sz val="11"/>
            <color theme="1"/>
            <rFont val="Calibri"/>
            <family val="2"/>
            <scheme val="minor"/>
          </rPr>
          <t>Introduzca la fecha de inicio del proceso, en formato dd-mm-aaaa</t>
        </r>
      </text>
    </comment>
    <comment ref="F277"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xr:uid="{00000000-0006-0000-0100-000073010000}">
      <text/>
    </comment>
    <comment ref="C279" authorId="2" shapeId="0" xr:uid="{00000000-0006-0000-0100-000074010000}">
      <text>
        <r>
          <rPr>
            <sz val="11"/>
            <color theme="1"/>
            <rFont val="Calibri"/>
            <family val="2"/>
            <scheme val="minor"/>
          </rPr>
          <t>Introduzca la fecha prevista de adjudicación, en formato dd-mm-aaaa</t>
        </r>
      </text>
    </comment>
    <comment ref="F279" authorId="2" shapeId="0" xr:uid="{00000000-0006-0000-0100-000075010000}">
      <text/>
    </comment>
    <comment ref="F280" authorId="2" shapeId="0" xr:uid="{00000000-0006-0000-0100-000076010000}">
      <text/>
    </comment>
    <comment ref="A282" authorId="2" shapeId="0" xr:uid="{00000000-0006-0000-0100-000077010000}">
      <text>
        <r>
          <rPr>
            <sz val="11"/>
            <color theme="1"/>
            <rFont val="Calibri"/>
            <family val="2"/>
            <scheme val="minor"/>
          </rPr>
          <t>Introduzca un codigo UNSPSC</t>
        </r>
      </text>
    </comment>
    <comment ref="B282" authorId="2" shapeId="0" xr:uid="{00000000-0006-0000-0100-000078010000}">
      <text>
        <r>
          <rPr>
            <sz val="11"/>
            <color theme="1"/>
            <rFont val="Calibri"/>
            <family val="2"/>
            <scheme val="minor"/>
          </rPr>
          <t>Descripción calculada automáticamente a partir de código del artículo</t>
        </r>
      </text>
    </comment>
    <comment ref="C282" authorId="2" shapeId="0" xr:uid="{00000000-0006-0000-0100-000079010000}">
      <text>
        <r>
          <rPr>
            <sz val="11"/>
            <color theme="1"/>
            <rFont val="Calibri"/>
            <family val="2"/>
            <scheme val="minor"/>
          </rPr>
          <t>Seleccione un valor de la lista</t>
        </r>
      </text>
    </comment>
    <comment ref="D282" authorId="2" shapeId="0" xr:uid="{00000000-0006-0000-0100-00007A010000}">
      <text>
        <r>
          <rPr>
            <sz val="11"/>
            <color theme="1"/>
            <rFont val="Calibri"/>
            <family val="2"/>
            <scheme val="minor"/>
          </rPr>
          <t>Introduzca un número con dos decimales como máximo. Debe ser igual o mayor a la "Cantidad Real Consumida"</t>
        </r>
      </text>
    </comment>
    <comment ref="E282" authorId="2" shapeId="0" xr:uid="{00000000-0006-0000-0100-00007B010000}">
      <text>
        <r>
          <rPr>
            <sz val="11"/>
            <color theme="1"/>
            <rFont val="Calibri"/>
            <family val="2"/>
            <scheme val="minor"/>
          </rPr>
          <t>Introduzca un número con dos decimales como máximo</t>
        </r>
      </text>
    </comment>
    <comment ref="F282" authorId="2" shapeId="0" xr:uid="{00000000-0006-0000-0100-00007C010000}">
      <text>
        <r>
          <rPr>
            <sz val="11"/>
            <color theme="1"/>
            <rFont val="Calibri"/>
            <family val="2"/>
            <scheme val="minor"/>
          </rPr>
          <t>Monto calculado automáticamente por el sistema</t>
        </r>
      </text>
    </comment>
    <comment ref="A306" authorId="2" shapeId="0" xr:uid="{00000000-0006-0000-0100-00007D010000}">
      <text>
        <r>
          <rPr>
            <sz val="11"/>
            <color theme="1"/>
            <rFont val="Calibri"/>
            <family val="2"/>
            <scheme val="minor"/>
          </rPr>
          <t>Introducir un texto con el nombre o referencia de la contratación</t>
        </r>
      </text>
    </comment>
    <comment ref="B306" authorId="2" shapeId="0" xr:uid="{00000000-0006-0000-0100-00007E010000}">
      <text>
        <r>
          <rPr>
            <sz val="11"/>
            <color theme="1"/>
            <rFont val="Calibri"/>
            <family val="2"/>
            <scheme val="minor"/>
          </rPr>
          <t>Introduzca un texto con la finalidad de la contratación</t>
        </r>
      </text>
    </comment>
    <comment ref="C306" authorId="2" shapeId="0" xr:uid="{00000000-0006-0000-0100-00007F010000}">
      <text>
        <r>
          <rPr>
            <sz val="11"/>
            <color theme="1"/>
            <rFont val="Calibri"/>
            <family val="2"/>
            <scheme val="minor"/>
          </rPr>
          <t>Seleccionar un valor del listado</t>
        </r>
      </text>
    </comment>
    <comment ref="D306" authorId="2" shapeId="0" xr:uid="{00000000-0006-0000-0100-000080010000}">
      <text>
        <r>
          <rPr>
            <sz val="11"/>
            <color theme="1"/>
            <rFont val="Calibri"/>
            <family val="2"/>
            <scheme val="minor"/>
          </rPr>
          <t>Seleccione el tipo de procedimiento</t>
        </r>
      </text>
    </comment>
    <comment ref="E306" authorId="2" shapeId="0" xr:uid="{00000000-0006-0000-0100-000081010000}">
      <text>
        <r>
          <rPr>
            <sz val="11"/>
            <color theme="1"/>
            <rFont val="Calibri"/>
            <family val="2"/>
            <scheme val="minor"/>
          </rPr>
          <t>Seleccione un valor de la lista</t>
        </r>
      </text>
    </comment>
    <comment ref="F306" authorId="2" shapeId="0" xr:uid="{00000000-0006-0000-0100-000082010000}">
      <text>
        <r>
          <rPr>
            <sz val="11"/>
            <color theme="1"/>
            <rFont val="Calibri"/>
            <family val="2"/>
            <scheme val="minor"/>
          </rPr>
          <t>Introduzca el código SNIP</t>
        </r>
      </text>
    </comment>
    <comment ref="C307" authorId="2" shapeId="0" xr:uid="{00000000-0006-0000-0100-000083010000}">
      <text>
        <r>
          <rPr>
            <sz val="11"/>
            <color theme="1"/>
            <rFont val="Calibri"/>
            <family val="2"/>
            <scheme val="minor"/>
          </rPr>
          <t>Introduzca la fecha de inicio del proceso, en formato dd-mm-aaaa</t>
        </r>
      </text>
    </comment>
    <comment ref="F307"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2" shapeId="0" xr:uid="{00000000-0006-0000-0100-000085010000}">
      <text/>
    </comment>
    <comment ref="C309" authorId="2" shapeId="0" xr:uid="{00000000-0006-0000-0100-000086010000}">
      <text>
        <r>
          <rPr>
            <sz val="11"/>
            <color theme="1"/>
            <rFont val="Calibri"/>
            <family val="2"/>
            <scheme val="minor"/>
          </rPr>
          <t>Introduzca la fecha prevista de adjudicación, en formato dd-mm-aaaa</t>
        </r>
      </text>
    </comment>
    <comment ref="F309" authorId="2" shapeId="0" xr:uid="{00000000-0006-0000-0100-000087010000}">
      <text/>
    </comment>
    <comment ref="F310" authorId="2" shapeId="0" xr:uid="{00000000-0006-0000-0100-000088010000}">
      <text/>
    </comment>
    <comment ref="A312" authorId="2" shapeId="0" xr:uid="{00000000-0006-0000-0100-000089010000}">
      <text>
        <r>
          <rPr>
            <sz val="11"/>
            <color theme="1"/>
            <rFont val="Calibri"/>
            <family val="2"/>
            <scheme val="minor"/>
          </rPr>
          <t>Introduzca un codigo UNSPSC</t>
        </r>
      </text>
    </comment>
    <comment ref="B312" authorId="2" shapeId="0" xr:uid="{00000000-0006-0000-0100-00008A010000}">
      <text>
        <r>
          <rPr>
            <sz val="11"/>
            <color theme="1"/>
            <rFont val="Calibri"/>
            <family val="2"/>
            <scheme val="minor"/>
          </rPr>
          <t>Descripción calculada automáticamente a partir de código del artículo</t>
        </r>
      </text>
    </comment>
    <comment ref="C312" authorId="2" shapeId="0" xr:uid="{00000000-0006-0000-0100-00008B010000}">
      <text>
        <r>
          <rPr>
            <sz val="11"/>
            <color theme="1"/>
            <rFont val="Calibri"/>
            <family val="2"/>
            <scheme val="minor"/>
          </rPr>
          <t>Seleccione un valor de la lista</t>
        </r>
      </text>
    </comment>
    <comment ref="D312" authorId="2" shapeId="0" xr:uid="{00000000-0006-0000-0100-00008C010000}">
      <text>
        <r>
          <rPr>
            <sz val="11"/>
            <color theme="1"/>
            <rFont val="Calibri"/>
            <family val="2"/>
            <scheme val="minor"/>
          </rPr>
          <t>Introduzca un número con dos decimales como máximo. Debe ser igual o mayor a la "Cantidad Real Consumida"</t>
        </r>
      </text>
    </comment>
    <comment ref="E312" authorId="2" shapeId="0" xr:uid="{00000000-0006-0000-0100-00008D010000}">
      <text>
        <r>
          <rPr>
            <sz val="11"/>
            <color theme="1"/>
            <rFont val="Calibri"/>
            <family val="2"/>
            <scheme val="minor"/>
          </rPr>
          <t>Introduzca un número con dos decimales como máximo</t>
        </r>
      </text>
    </comment>
    <comment ref="F312" authorId="2" shapeId="0" xr:uid="{00000000-0006-0000-0100-00008E010000}">
      <text>
        <r>
          <rPr>
            <sz val="11"/>
            <color theme="1"/>
            <rFont val="Calibri"/>
            <family val="2"/>
            <scheme val="minor"/>
          </rPr>
          <t>Monto calculado automáticamente por el sistema</t>
        </r>
      </text>
    </comment>
    <comment ref="A335" authorId="2" shapeId="0" xr:uid="{00000000-0006-0000-0100-00008F010000}">
      <text>
        <r>
          <rPr>
            <sz val="11"/>
            <color theme="1"/>
            <rFont val="Calibri"/>
            <family val="2"/>
            <scheme val="minor"/>
          </rPr>
          <t>Introducir un texto con el nombre o referencia de la contratación</t>
        </r>
      </text>
    </comment>
    <comment ref="B335" authorId="2" shapeId="0" xr:uid="{00000000-0006-0000-0100-000090010000}">
      <text>
        <r>
          <rPr>
            <sz val="11"/>
            <color theme="1"/>
            <rFont val="Calibri"/>
            <family val="2"/>
            <scheme val="minor"/>
          </rPr>
          <t>Introduzca un texto con la finalidad de la contratación</t>
        </r>
      </text>
    </comment>
    <comment ref="C335" authorId="2" shapeId="0" xr:uid="{00000000-0006-0000-0100-000091010000}">
      <text>
        <r>
          <rPr>
            <sz val="11"/>
            <color theme="1"/>
            <rFont val="Calibri"/>
            <family val="2"/>
            <scheme val="minor"/>
          </rPr>
          <t>Seleccionar un valor del listado</t>
        </r>
      </text>
    </comment>
    <comment ref="D335" authorId="2" shapeId="0" xr:uid="{00000000-0006-0000-0100-000092010000}">
      <text>
        <r>
          <rPr>
            <sz val="11"/>
            <color theme="1"/>
            <rFont val="Calibri"/>
            <family val="2"/>
            <scheme val="minor"/>
          </rPr>
          <t>Seleccione el tipo de procedimiento</t>
        </r>
      </text>
    </comment>
    <comment ref="E335" authorId="2" shapeId="0" xr:uid="{00000000-0006-0000-0100-000093010000}">
      <text>
        <r>
          <rPr>
            <sz val="11"/>
            <color theme="1"/>
            <rFont val="Calibri"/>
            <family val="2"/>
            <scheme val="minor"/>
          </rPr>
          <t>Seleccione un valor de la lista</t>
        </r>
      </text>
    </comment>
    <comment ref="F335" authorId="2" shapeId="0" xr:uid="{00000000-0006-0000-0100-000094010000}">
      <text>
        <r>
          <rPr>
            <sz val="11"/>
            <color theme="1"/>
            <rFont val="Calibri"/>
            <family val="2"/>
            <scheme val="minor"/>
          </rPr>
          <t>Introduzca el código SNIP</t>
        </r>
      </text>
    </comment>
    <comment ref="C336" authorId="2" shapeId="0" xr:uid="{00000000-0006-0000-0100-000095010000}">
      <text>
        <r>
          <rPr>
            <sz val="11"/>
            <color theme="1"/>
            <rFont val="Calibri"/>
            <family val="2"/>
            <scheme val="minor"/>
          </rPr>
          <t>Introduzca la fecha de inicio del proceso, en formato dd-mm-aaaa</t>
        </r>
      </text>
    </comment>
    <comment ref="F336"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xr:uid="{00000000-0006-0000-0100-000097010000}">
      <text/>
    </comment>
    <comment ref="C338" authorId="2" shapeId="0" xr:uid="{00000000-0006-0000-0100-000098010000}">
      <text>
        <r>
          <rPr>
            <sz val="11"/>
            <color theme="1"/>
            <rFont val="Calibri"/>
            <family val="2"/>
            <scheme val="minor"/>
          </rPr>
          <t>Introduzca la fecha prevista de adjudicación, en formato dd-mm-aaaa</t>
        </r>
      </text>
    </comment>
    <comment ref="F338" authorId="2" shapeId="0" xr:uid="{00000000-0006-0000-0100-000099010000}">
      <text/>
    </comment>
    <comment ref="F339" authorId="2" shapeId="0" xr:uid="{00000000-0006-0000-0100-00009A010000}">
      <text/>
    </comment>
    <comment ref="A341" authorId="2" shapeId="0" xr:uid="{00000000-0006-0000-0100-00009B010000}">
      <text>
        <r>
          <rPr>
            <sz val="11"/>
            <color theme="1"/>
            <rFont val="Calibri"/>
            <family val="2"/>
            <scheme val="minor"/>
          </rPr>
          <t>Introduzca un codigo UNSPSC</t>
        </r>
      </text>
    </comment>
    <comment ref="B341" authorId="2" shapeId="0" xr:uid="{00000000-0006-0000-0100-00009C010000}">
      <text>
        <r>
          <rPr>
            <sz val="11"/>
            <color theme="1"/>
            <rFont val="Calibri"/>
            <family val="2"/>
            <scheme val="minor"/>
          </rPr>
          <t>Descripción calculada automáticamente a partir de código del artículo</t>
        </r>
      </text>
    </comment>
    <comment ref="C341" authorId="2" shapeId="0" xr:uid="{00000000-0006-0000-0100-00009D010000}">
      <text>
        <r>
          <rPr>
            <sz val="11"/>
            <color theme="1"/>
            <rFont val="Calibri"/>
            <family val="2"/>
            <scheme val="minor"/>
          </rPr>
          <t>Seleccione un valor de la lista</t>
        </r>
      </text>
    </comment>
    <comment ref="D341" authorId="2" shapeId="0" xr:uid="{00000000-0006-0000-0100-00009E010000}">
      <text>
        <r>
          <rPr>
            <sz val="11"/>
            <color theme="1"/>
            <rFont val="Calibri"/>
            <family val="2"/>
            <scheme val="minor"/>
          </rPr>
          <t>Introduzca un número con dos decimales como máximo. Debe ser igual o mayor a la "Cantidad Real Consumida"</t>
        </r>
      </text>
    </comment>
    <comment ref="E341" authorId="2" shapeId="0" xr:uid="{00000000-0006-0000-0100-00009F010000}">
      <text>
        <r>
          <rPr>
            <sz val="11"/>
            <color theme="1"/>
            <rFont val="Calibri"/>
            <family val="2"/>
            <scheme val="minor"/>
          </rPr>
          <t>Introduzca un número con dos decimales como máximo</t>
        </r>
      </text>
    </comment>
    <comment ref="F341" authorId="2" shapeId="0" xr:uid="{00000000-0006-0000-0100-0000A0010000}">
      <text>
        <r>
          <rPr>
            <sz val="11"/>
            <color theme="1"/>
            <rFont val="Calibri"/>
            <family val="2"/>
            <scheme val="minor"/>
          </rPr>
          <t>Monto calculado automáticamente por el sistema</t>
        </r>
      </text>
    </comment>
    <comment ref="A364" authorId="2" shapeId="0" xr:uid="{00000000-0006-0000-0100-0000A1010000}">
      <text>
        <r>
          <rPr>
            <sz val="11"/>
            <color theme="1"/>
            <rFont val="Calibri"/>
            <family val="2"/>
            <scheme val="minor"/>
          </rPr>
          <t>Introducir un texto con el nombre o referencia de la contratación</t>
        </r>
      </text>
    </comment>
    <comment ref="B364" authorId="2" shapeId="0" xr:uid="{00000000-0006-0000-0100-0000A2010000}">
      <text>
        <r>
          <rPr>
            <sz val="11"/>
            <color theme="1"/>
            <rFont val="Calibri"/>
            <family val="2"/>
            <scheme val="minor"/>
          </rPr>
          <t>Introduzca un texto con la finalidad de la contratación</t>
        </r>
      </text>
    </comment>
    <comment ref="C364" authorId="2" shapeId="0" xr:uid="{00000000-0006-0000-0100-0000A3010000}">
      <text>
        <r>
          <rPr>
            <sz val="11"/>
            <color theme="1"/>
            <rFont val="Calibri"/>
            <family val="2"/>
            <scheme val="minor"/>
          </rPr>
          <t>Seleccionar un valor del listado</t>
        </r>
      </text>
    </comment>
    <comment ref="D364" authorId="2" shapeId="0" xr:uid="{00000000-0006-0000-0100-0000A4010000}">
      <text>
        <r>
          <rPr>
            <sz val="11"/>
            <color theme="1"/>
            <rFont val="Calibri"/>
            <family val="2"/>
            <scheme val="minor"/>
          </rPr>
          <t>Seleccione el tipo de procedimiento</t>
        </r>
      </text>
    </comment>
    <comment ref="E364" authorId="2" shapeId="0" xr:uid="{00000000-0006-0000-0100-0000A5010000}">
      <text>
        <r>
          <rPr>
            <sz val="11"/>
            <color theme="1"/>
            <rFont val="Calibri"/>
            <family val="2"/>
            <scheme val="minor"/>
          </rPr>
          <t>Seleccione un valor de la lista</t>
        </r>
      </text>
    </comment>
    <comment ref="F364" authorId="2" shapeId="0" xr:uid="{00000000-0006-0000-0100-0000A6010000}">
      <text>
        <r>
          <rPr>
            <sz val="11"/>
            <color theme="1"/>
            <rFont val="Calibri"/>
            <family val="2"/>
            <scheme val="minor"/>
          </rPr>
          <t>Introduzca el código SNIP</t>
        </r>
      </text>
    </comment>
    <comment ref="C365" authorId="2" shapeId="0" xr:uid="{00000000-0006-0000-0100-0000A7010000}">
      <text>
        <r>
          <rPr>
            <sz val="11"/>
            <color theme="1"/>
            <rFont val="Calibri"/>
            <family val="2"/>
            <scheme val="minor"/>
          </rPr>
          <t>Introduzca la fecha de inicio del proceso, en formato dd-mm-aaaa</t>
        </r>
      </text>
    </comment>
    <comment ref="F365"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2" shapeId="0" xr:uid="{00000000-0006-0000-0100-0000A9010000}">
      <text/>
    </comment>
    <comment ref="C367" authorId="2" shapeId="0" xr:uid="{00000000-0006-0000-0100-0000AA010000}">
      <text>
        <r>
          <rPr>
            <sz val="11"/>
            <color theme="1"/>
            <rFont val="Calibri"/>
            <family val="2"/>
            <scheme val="minor"/>
          </rPr>
          <t>Introduzca la fecha prevista de adjudicación, en formato dd-mm-aaaa</t>
        </r>
      </text>
    </comment>
    <comment ref="F367" authorId="2" shapeId="0" xr:uid="{00000000-0006-0000-0100-0000AB010000}">
      <text/>
    </comment>
    <comment ref="F368" authorId="2" shapeId="0" xr:uid="{00000000-0006-0000-0100-0000AC010000}">
      <text/>
    </comment>
    <comment ref="A370" authorId="2" shapeId="0" xr:uid="{00000000-0006-0000-0100-0000AD010000}">
      <text>
        <r>
          <rPr>
            <sz val="11"/>
            <color theme="1"/>
            <rFont val="Calibri"/>
            <family val="2"/>
            <scheme val="minor"/>
          </rPr>
          <t>Introduzca un codigo UNSPSC</t>
        </r>
      </text>
    </comment>
    <comment ref="B370" authorId="2" shapeId="0" xr:uid="{00000000-0006-0000-0100-0000AE010000}">
      <text>
        <r>
          <rPr>
            <sz val="11"/>
            <color theme="1"/>
            <rFont val="Calibri"/>
            <family val="2"/>
            <scheme val="minor"/>
          </rPr>
          <t>Descripción calculada automáticamente a partir de código del artículo</t>
        </r>
      </text>
    </comment>
    <comment ref="C370" authorId="2" shapeId="0" xr:uid="{00000000-0006-0000-0100-0000AF010000}">
      <text>
        <r>
          <rPr>
            <sz val="11"/>
            <color theme="1"/>
            <rFont val="Calibri"/>
            <family val="2"/>
            <scheme val="minor"/>
          </rPr>
          <t>Seleccione un valor de la lista</t>
        </r>
      </text>
    </comment>
    <comment ref="D370" authorId="2" shapeId="0" xr:uid="{00000000-0006-0000-0100-0000B0010000}">
      <text>
        <r>
          <rPr>
            <sz val="11"/>
            <color theme="1"/>
            <rFont val="Calibri"/>
            <family val="2"/>
            <scheme val="minor"/>
          </rPr>
          <t>Introduzca un número con dos decimales como máximo. Debe ser igual o mayor a la "Cantidad Real Consumida"</t>
        </r>
      </text>
    </comment>
    <comment ref="E370" authorId="2" shapeId="0" xr:uid="{00000000-0006-0000-0100-0000B1010000}">
      <text>
        <r>
          <rPr>
            <sz val="11"/>
            <color theme="1"/>
            <rFont val="Calibri"/>
            <family val="2"/>
            <scheme val="minor"/>
          </rPr>
          <t>Introduzca un número con dos decimales como máximo</t>
        </r>
      </text>
    </comment>
    <comment ref="F370" authorId="2" shapeId="0" xr:uid="{00000000-0006-0000-0100-0000B2010000}">
      <text>
        <r>
          <rPr>
            <sz val="11"/>
            <color theme="1"/>
            <rFont val="Calibri"/>
            <family val="2"/>
            <scheme val="minor"/>
          </rPr>
          <t>Monto calculado automáticamente por el sistema</t>
        </r>
      </text>
    </comment>
    <comment ref="A388" authorId="2" shapeId="0" xr:uid="{00000000-0006-0000-0100-0000B3010000}">
      <text>
        <r>
          <rPr>
            <sz val="11"/>
            <color theme="1"/>
            <rFont val="Calibri"/>
            <family val="2"/>
            <scheme val="minor"/>
          </rPr>
          <t>Introducir un texto con el nombre o referencia de la contratación</t>
        </r>
      </text>
    </comment>
    <comment ref="B388" authorId="2" shapeId="0" xr:uid="{00000000-0006-0000-0100-0000B4010000}">
      <text>
        <r>
          <rPr>
            <sz val="11"/>
            <color theme="1"/>
            <rFont val="Calibri"/>
            <family val="2"/>
            <scheme val="minor"/>
          </rPr>
          <t>Introduzca un texto con la finalidad de la contratación</t>
        </r>
      </text>
    </comment>
    <comment ref="C388" authorId="2" shapeId="0" xr:uid="{00000000-0006-0000-0100-0000B5010000}">
      <text>
        <r>
          <rPr>
            <sz val="11"/>
            <color theme="1"/>
            <rFont val="Calibri"/>
            <family val="2"/>
            <scheme val="minor"/>
          </rPr>
          <t>Seleccionar un valor del listado</t>
        </r>
      </text>
    </comment>
    <comment ref="D388" authorId="2" shapeId="0" xr:uid="{00000000-0006-0000-0100-0000B6010000}">
      <text>
        <r>
          <rPr>
            <sz val="11"/>
            <color theme="1"/>
            <rFont val="Calibri"/>
            <family val="2"/>
            <scheme val="minor"/>
          </rPr>
          <t>Seleccione el tipo de procedimiento</t>
        </r>
      </text>
    </comment>
    <comment ref="E388" authorId="2" shapeId="0" xr:uid="{00000000-0006-0000-0100-0000B7010000}">
      <text>
        <r>
          <rPr>
            <sz val="11"/>
            <color theme="1"/>
            <rFont val="Calibri"/>
            <family val="2"/>
            <scheme val="minor"/>
          </rPr>
          <t>Seleccione un valor de la lista</t>
        </r>
      </text>
    </comment>
    <comment ref="F388" authorId="2" shapeId="0" xr:uid="{00000000-0006-0000-0100-0000B8010000}">
      <text>
        <r>
          <rPr>
            <sz val="11"/>
            <color theme="1"/>
            <rFont val="Calibri"/>
            <family val="2"/>
            <scheme val="minor"/>
          </rPr>
          <t>Introduzca el código SNIP</t>
        </r>
      </text>
    </comment>
    <comment ref="C389" authorId="2" shapeId="0" xr:uid="{00000000-0006-0000-0100-0000B9010000}">
      <text>
        <r>
          <rPr>
            <sz val="11"/>
            <color theme="1"/>
            <rFont val="Calibri"/>
            <family val="2"/>
            <scheme val="minor"/>
          </rPr>
          <t>Introduzca la fecha de inicio del proceso, en formato dd-mm-aaaa</t>
        </r>
      </text>
    </comment>
    <comment ref="F389"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2" shapeId="0" xr:uid="{00000000-0006-0000-0100-0000BB010000}">
      <text/>
    </comment>
    <comment ref="C391" authorId="2" shapeId="0" xr:uid="{00000000-0006-0000-0100-0000BC010000}">
      <text>
        <r>
          <rPr>
            <sz val="11"/>
            <color theme="1"/>
            <rFont val="Calibri"/>
            <family val="2"/>
            <scheme val="minor"/>
          </rPr>
          <t>Introduzca la fecha prevista de adjudicación, en formato dd-mm-aaaa</t>
        </r>
      </text>
    </comment>
    <comment ref="F391" authorId="2" shapeId="0" xr:uid="{00000000-0006-0000-0100-0000BD010000}">
      <text/>
    </comment>
    <comment ref="F392" authorId="2" shapeId="0" xr:uid="{00000000-0006-0000-0100-0000BE010000}">
      <text/>
    </comment>
    <comment ref="A394" authorId="2" shapeId="0" xr:uid="{00000000-0006-0000-0100-0000BF010000}">
      <text>
        <r>
          <rPr>
            <sz val="11"/>
            <color theme="1"/>
            <rFont val="Calibri"/>
            <family val="2"/>
            <scheme val="minor"/>
          </rPr>
          <t>Introduzca un codigo UNSPSC</t>
        </r>
      </text>
    </comment>
    <comment ref="B394" authorId="2" shapeId="0" xr:uid="{00000000-0006-0000-0100-0000C0010000}">
      <text>
        <r>
          <rPr>
            <sz val="11"/>
            <color theme="1"/>
            <rFont val="Calibri"/>
            <family val="2"/>
            <scheme val="minor"/>
          </rPr>
          <t>Descripción calculada automáticamente a partir de código del artículo</t>
        </r>
      </text>
    </comment>
    <comment ref="C394" authorId="2" shapeId="0" xr:uid="{00000000-0006-0000-0100-0000C1010000}">
      <text>
        <r>
          <rPr>
            <sz val="11"/>
            <color theme="1"/>
            <rFont val="Calibri"/>
            <family val="2"/>
            <scheme val="minor"/>
          </rPr>
          <t>Seleccione un valor de la lista</t>
        </r>
      </text>
    </comment>
    <comment ref="D394" authorId="2" shapeId="0" xr:uid="{00000000-0006-0000-0100-0000C2010000}">
      <text>
        <r>
          <rPr>
            <sz val="11"/>
            <color theme="1"/>
            <rFont val="Calibri"/>
            <family val="2"/>
            <scheme val="minor"/>
          </rPr>
          <t>Introduzca un número con dos decimales como máximo. Debe ser igual o mayor a la "Cantidad Real Consumida"</t>
        </r>
      </text>
    </comment>
    <comment ref="E394" authorId="2" shapeId="0" xr:uid="{00000000-0006-0000-0100-0000C3010000}">
      <text>
        <r>
          <rPr>
            <sz val="11"/>
            <color theme="1"/>
            <rFont val="Calibri"/>
            <family val="2"/>
            <scheme val="minor"/>
          </rPr>
          <t>Introduzca un número con dos decimales como máximo</t>
        </r>
      </text>
    </comment>
    <comment ref="F394" authorId="2" shapeId="0" xr:uid="{00000000-0006-0000-0100-0000C4010000}">
      <text>
        <r>
          <rPr>
            <sz val="11"/>
            <color theme="1"/>
            <rFont val="Calibri"/>
            <family val="2"/>
            <scheme val="minor"/>
          </rPr>
          <t>Monto calculado automáticamente por el sistema</t>
        </r>
      </text>
    </comment>
    <comment ref="A409" authorId="2" shapeId="0" xr:uid="{00000000-0006-0000-0100-0000C5010000}">
      <text>
        <r>
          <rPr>
            <sz val="11"/>
            <color theme="1"/>
            <rFont val="Calibri"/>
            <family val="2"/>
            <scheme val="minor"/>
          </rPr>
          <t>Introducir un texto con el nombre o referencia de la contratación</t>
        </r>
      </text>
    </comment>
    <comment ref="B409" authorId="2" shapeId="0" xr:uid="{00000000-0006-0000-0100-0000C6010000}">
      <text>
        <r>
          <rPr>
            <sz val="11"/>
            <color theme="1"/>
            <rFont val="Calibri"/>
            <family val="2"/>
            <scheme val="minor"/>
          </rPr>
          <t>Introduzca un texto con la finalidad de la contratación</t>
        </r>
      </text>
    </comment>
    <comment ref="C409" authorId="2" shapeId="0" xr:uid="{00000000-0006-0000-0100-0000C7010000}">
      <text>
        <r>
          <rPr>
            <sz val="11"/>
            <color theme="1"/>
            <rFont val="Calibri"/>
            <family val="2"/>
            <scheme val="minor"/>
          </rPr>
          <t>Seleccionar un valor del listado</t>
        </r>
      </text>
    </comment>
    <comment ref="D409" authorId="2" shapeId="0" xr:uid="{00000000-0006-0000-0100-0000C8010000}">
      <text>
        <r>
          <rPr>
            <sz val="11"/>
            <color theme="1"/>
            <rFont val="Calibri"/>
            <family val="2"/>
            <scheme val="minor"/>
          </rPr>
          <t>Seleccione el tipo de procedimiento</t>
        </r>
      </text>
    </comment>
    <comment ref="E409" authorId="2" shapeId="0" xr:uid="{00000000-0006-0000-0100-0000C9010000}">
      <text>
        <r>
          <rPr>
            <sz val="11"/>
            <color theme="1"/>
            <rFont val="Calibri"/>
            <family val="2"/>
            <scheme val="minor"/>
          </rPr>
          <t>Seleccione un valor de la lista</t>
        </r>
      </text>
    </comment>
    <comment ref="F409" authorId="2" shapeId="0" xr:uid="{00000000-0006-0000-0100-0000CA010000}">
      <text>
        <r>
          <rPr>
            <sz val="11"/>
            <color theme="1"/>
            <rFont val="Calibri"/>
            <family val="2"/>
            <scheme val="minor"/>
          </rPr>
          <t>Introduzca el código SNIP</t>
        </r>
      </text>
    </comment>
    <comment ref="C410" authorId="2" shapeId="0" xr:uid="{00000000-0006-0000-0100-0000CB010000}">
      <text>
        <r>
          <rPr>
            <sz val="11"/>
            <color theme="1"/>
            <rFont val="Calibri"/>
            <family val="2"/>
            <scheme val="minor"/>
          </rPr>
          <t>Introduzca la fecha de inicio del proceso, en formato dd-mm-aaaa</t>
        </r>
      </text>
    </comment>
    <comment ref="F410"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2" shapeId="0" xr:uid="{00000000-0006-0000-0100-0000CD010000}">
      <text/>
    </comment>
    <comment ref="C412" authorId="2" shapeId="0" xr:uid="{00000000-0006-0000-0100-0000CE010000}">
      <text>
        <r>
          <rPr>
            <sz val="11"/>
            <color theme="1"/>
            <rFont val="Calibri"/>
            <family val="2"/>
            <scheme val="minor"/>
          </rPr>
          <t>Introduzca la fecha prevista de adjudicación, en formato dd-mm-aaaa</t>
        </r>
      </text>
    </comment>
    <comment ref="F412" authorId="2" shapeId="0" xr:uid="{00000000-0006-0000-0100-0000CF010000}">
      <text/>
    </comment>
    <comment ref="F413" authorId="2" shapeId="0" xr:uid="{00000000-0006-0000-0100-0000D0010000}">
      <text/>
    </comment>
    <comment ref="A415" authorId="2" shapeId="0" xr:uid="{00000000-0006-0000-0100-0000D1010000}">
      <text>
        <r>
          <rPr>
            <sz val="11"/>
            <color theme="1"/>
            <rFont val="Calibri"/>
            <family val="2"/>
            <scheme val="minor"/>
          </rPr>
          <t>Introduzca un codigo UNSPSC</t>
        </r>
      </text>
    </comment>
    <comment ref="B415" authorId="2" shapeId="0" xr:uid="{00000000-0006-0000-0100-0000D2010000}">
      <text>
        <r>
          <rPr>
            <sz val="11"/>
            <color theme="1"/>
            <rFont val="Calibri"/>
            <family val="2"/>
            <scheme val="minor"/>
          </rPr>
          <t>Descripción calculada automáticamente a partir de código del artículo</t>
        </r>
      </text>
    </comment>
    <comment ref="C415" authorId="2" shapeId="0" xr:uid="{00000000-0006-0000-0100-0000D3010000}">
      <text>
        <r>
          <rPr>
            <sz val="11"/>
            <color theme="1"/>
            <rFont val="Calibri"/>
            <family val="2"/>
            <scheme val="minor"/>
          </rPr>
          <t>Seleccione un valor de la lista</t>
        </r>
      </text>
    </comment>
    <comment ref="D415" authorId="2" shapeId="0" xr:uid="{00000000-0006-0000-0100-0000D4010000}">
      <text>
        <r>
          <rPr>
            <sz val="11"/>
            <color theme="1"/>
            <rFont val="Calibri"/>
            <family val="2"/>
            <scheme val="minor"/>
          </rPr>
          <t>Introduzca un número con dos decimales como máximo. Debe ser igual o mayor a la "Cantidad Real Consumida"</t>
        </r>
      </text>
    </comment>
    <comment ref="E415" authorId="2" shapeId="0" xr:uid="{00000000-0006-0000-0100-0000D5010000}">
      <text>
        <r>
          <rPr>
            <sz val="11"/>
            <color theme="1"/>
            <rFont val="Calibri"/>
            <family val="2"/>
            <scheme val="minor"/>
          </rPr>
          <t>Introduzca un número con dos decimales como máximo</t>
        </r>
      </text>
    </comment>
    <comment ref="F415" authorId="2" shapeId="0" xr:uid="{00000000-0006-0000-0100-0000D6010000}">
      <text>
        <r>
          <rPr>
            <sz val="11"/>
            <color theme="1"/>
            <rFont val="Calibri"/>
            <family val="2"/>
            <scheme val="minor"/>
          </rPr>
          <t>Monto calculado automáticamente por el sistema</t>
        </r>
      </text>
    </comment>
    <comment ref="A426" authorId="2" shapeId="0" xr:uid="{00000000-0006-0000-0100-0000D7010000}">
      <text>
        <r>
          <rPr>
            <sz val="11"/>
            <color theme="1"/>
            <rFont val="Calibri"/>
            <family val="2"/>
            <scheme val="minor"/>
          </rPr>
          <t>Introducir un texto con el nombre o referencia de la contratación</t>
        </r>
      </text>
    </comment>
    <comment ref="B426" authorId="2" shapeId="0" xr:uid="{00000000-0006-0000-0100-0000D8010000}">
      <text>
        <r>
          <rPr>
            <sz val="11"/>
            <color theme="1"/>
            <rFont val="Calibri"/>
            <family val="2"/>
            <scheme val="minor"/>
          </rPr>
          <t>Introduzca un texto con la finalidad de la contratación</t>
        </r>
      </text>
    </comment>
    <comment ref="C426" authorId="2" shapeId="0" xr:uid="{00000000-0006-0000-0100-0000D9010000}">
      <text>
        <r>
          <rPr>
            <sz val="11"/>
            <color theme="1"/>
            <rFont val="Calibri"/>
            <family val="2"/>
            <scheme val="minor"/>
          </rPr>
          <t>Seleccionar un valor del listado</t>
        </r>
      </text>
    </comment>
    <comment ref="D426" authorId="2" shapeId="0" xr:uid="{00000000-0006-0000-0100-0000DA010000}">
      <text>
        <r>
          <rPr>
            <sz val="11"/>
            <color theme="1"/>
            <rFont val="Calibri"/>
            <family val="2"/>
            <scheme val="minor"/>
          </rPr>
          <t>Seleccione el tipo de procedimiento</t>
        </r>
      </text>
    </comment>
    <comment ref="E426" authorId="2" shapeId="0" xr:uid="{00000000-0006-0000-0100-0000DB010000}">
      <text>
        <r>
          <rPr>
            <sz val="11"/>
            <color theme="1"/>
            <rFont val="Calibri"/>
            <family val="2"/>
            <scheme val="minor"/>
          </rPr>
          <t>Seleccione un valor de la lista</t>
        </r>
      </text>
    </comment>
    <comment ref="F426" authorId="2" shapeId="0" xr:uid="{00000000-0006-0000-0100-0000DC010000}">
      <text>
        <r>
          <rPr>
            <sz val="11"/>
            <color theme="1"/>
            <rFont val="Calibri"/>
            <family val="2"/>
            <scheme val="minor"/>
          </rPr>
          <t>Introduzca el código SNIP</t>
        </r>
      </text>
    </comment>
    <comment ref="C427" authorId="2" shapeId="0" xr:uid="{00000000-0006-0000-0100-0000DD010000}">
      <text>
        <r>
          <rPr>
            <sz val="11"/>
            <color theme="1"/>
            <rFont val="Calibri"/>
            <family val="2"/>
            <scheme val="minor"/>
          </rPr>
          <t>Introduzca la fecha de inicio del proceso, en formato dd-mm-aaaa</t>
        </r>
      </text>
    </comment>
    <comment ref="F427"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 authorId="2" shapeId="0" xr:uid="{00000000-0006-0000-0100-0000DF010000}">
      <text/>
    </comment>
    <comment ref="C429" authorId="2" shapeId="0" xr:uid="{00000000-0006-0000-0100-0000E0010000}">
      <text>
        <r>
          <rPr>
            <sz val="11"/>
            <color theme="1"/>
            <rFont val="Calibri"/>
            <family val="2"/>
            <scheme val="minor"/>
          </rPr>
          <t>Introduzca la fecha prevista de adjudicación, en formato dd-mm-aaaa</t>
        </r>
      </text>
    </comment>
    <comment ref="F429" authorId="2" shapeId="0" xr:uid="{00000000-0006-0000-0100-0000E1010000}">
      <text/>
    </comment>
    <comment ref="F430" authorId="2" shapeId="0" xr:uid="{00000000-0006-0000-0100-0000E2010000}">
      <text/>
    </comment>
    <comment ref="A432" authorId="2" shapeId="0" xr:uid="{00000000-0006-0000-0100-0000E3010000}">
      <text>
        <r>
          <rPr>
            <sz val="11"/>
            <color theme="1"/>
            <rFont val="Calibri"/>
            <family val="2"/>
            <scheme val="minor"/>
          </rPr>
          <t>Introduzca un codigo UNSPSC</t>
        </r>
      </text>
    </comment>
    <comment ref="B432" authorId="2" shapeId="0" xr:uid="{00000000-0006-0000-0100-0000E4010000}">
      <text>
        <r>
          <rPr>
            <sz val="11"/>
            <color theme="1"/>
            <rFont val="Calibri"/>
            <family val="2"/>
            <scheme val="minor"/>
          </rPr>
          <t>Descripción calculada automáticamente a partir de código del artículo</t>
        </r>
      </text>
    </comment>
    <comment ref="C432" authorId="2" shapeId="0" xr:uid="{00000000-0006-0000-0100-0000E5010000}">
      <text>
        <r>
          <rPr>
            <sz val="11"/>
            <color theme="1"/>
            <rFont val="Calibri"/>
            <family val="2"/>
            <scheme val="minor"/>
          </rPr>
          <t>Seleccione un valor de la lista</t>
        </r>
      </text>
    </comment>
    <comment ref="D432" authorId="2" shapeId="0" xr:uid="{00000000-0006-0000-0100-0000E6010000}">
      <text>
        <r>
          <rPr>
            <sz val="11"/>
            <color theme="1"/>
            <rFont val="Calibri"/>
            <family val="2"/>
            <scheme val="minor"/>
          </rPr>
          <t>Introduzca un número con dos decimales como máximo. Debe ser igual o mayor a la "Cantidad Real Consumida"</t>
        </r>
      </text>
    </comment>
    <comment ref="E432" authorId="2" shapeId="0" xr:uid="{00000000-0006-0000-0100-0000E7010000}">
      <text>
        <r>
          <rPr>
            <sz val="11"/>
            <color theme="1"/>
            <rFont val="Calibri"/>
            <family val="2"/>
            <scheme val="minor"/>
          </rPr>
          <t>Introduzca un número con dos decimales como máximo</t>
        </r>
      </text>
    </comment>
    <comment ref="F432" authorId="2" shapeId="0" xr:uid="{00000000-0006-0000-0100-0000E8010000}">
      <text>
        <r>
          <rPr>
            <sz val="11"/>
            <color theme="1"/>
            <rFont val="Calibri"/>
            <family val="2"/>
            <scheme val="minor"/>
          </rPr>
          <t>Monto calculado automáticamente por el sistema</t>
        </r>
      </text>
    </comment>
    <comment ref="A443" authorId="2" shapeId="0" xr:uid="{00000000-0006-0000-0100-0000E9010000}">
      <text>
        <r>
          <rPr>
            <sz val="11"/>
            <color theme="1"/>
            <rFont val="Calibri"/>
            <family val="2"/>
            <scheme val="minor"/>
          </rPr>
          <t>Introducir un texto con el nombre o referencia de la contratación</t>
        </r>
      </text>
    </comment>
    <comment ref="B443" authorId="2" shapeId="0" xr:uid="{00000000-0006-0000-0100-0000EA010000}">
      <text>
        <r>
          <rPr>
            <sz val="11"/>
            <color theme="1"/>
            <rFont val="Calibri"/>
            <family val="2"/>
            <scheme val="minor"/>
          </rPr>
          <t>Introduzca un texto con la finalidad de la contratación</t>
        </r>
      </text>
    </comment>
    <comment ref="C443" authorId="2" shapeId="0" xr:uid="{00000000-0006-0000-0100-0000EB010000}">
      <text>
        <r>
          <rPr>
            <sz val="11"/>
            <color theme="1"/>
            <rFont val="Calibri"/>
            <family val="2"/>
            <scheme val="minor"/>
          </rPr>
          <t>Seleccionar un valor del listado</t>
        </r>
      </text>
    </comment>
    <comment ref="D443" authorId="2" shapeId="0" xr:uid="{00000000-0006-0000-0100-0000EC010000}">
      <text>
        <r>
          <rPr>
            <sz val="11"/>
            <color theme="1"/>
            <rFont val="Calibri"/>
            <family val="2"/>
            <scheme val="minor"/>
          </rPr>
          <t>Seleccione el tipo de procedimiento</t>
        </r>
      </text>
    </comment>
    <comment ref="E443" authorId="2" shapeId="0" xr:uid="{00000000-0006-0000-0100-0000ED010000}">
      <text>
        <r>
          <rPr>
            <sz val="11"/>
            <color theme="1"/>
            <rFont val="Calibri"/>
            <family val="2"/>
            <scheme val="minor"/>
          </rPr>
          <t>Seleccione un valor de la lista</t>
        </r>
      </text>
    </comment>
    <comment ref="F443" authorId="2" shapeId="0" xr:uid="{00000000-0006-0000-0100-0000EE010000}">
      <text>
        <r>
          <rPr>
            <sz val="11"/>
            <color theme="1"/>
            <rFont val="Calibri"/>
            <family val="2"/>
            <scheme val="minor"/>
          </rPr>
          <t>Introduzca el código SNIP</t>
        </r>
      </text>
    </comment>
    <comment ref="C444" authorId="2" shapeId="0" xr:uid="{00000000-0006-0000-0100-0000EF010000}">
      <text>
        <r>
          <rPr>
            <sz val="11"/>
            <color theme="1"/>
            <rFont val="Calibri"/>
            <family val="2"/>
            <scheme val="minor"/>
          </rPr>
          <t>Introduzca la fecha de inicio del proceso, en formato dd-mm-aaaa</t>
        </r>
      </text>
    </comment>
    <comment ref="F444"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2" shapeId="0" xr:uid="{00000000-0006-0000-0100-0000F1010000}">
      <text/>
    </comment>
    <comment ref="C446" authorId="2" shapeId="0" xr:uid="{00000000-0006-0000-0100-0000F2010000}">
      <text>
        <r>
          <rPr>
            <sz val="11"/>
            <color theme="1"/>
            <rFont val="Calibri"/>
            <family val="2"/>
            <scheme val="minor"/>
          </rPr>
          <t>Introduzca la fecha prevista de adjudicación, en formato dd-mm-aaaa</t>
        </r>
      </text>
    </comment>
    <comment ref="F446" authorId="2" shapeId="0" xr:uid="{00000000-0006-0000-0100-0000F3010000}">
      <text/>
    </comment>
    <comment ref="F447" authorId="2" shapeId="0" xr:uid="{00000000-0006-0000-0100-0000F4010000}">
      <text/>
    </comment>
    <comment ref="A449" authorId="2" shapeId="0" xr:uid="{00000000-0006-0000-0100-0000F5010000}">
      <text>
        <r>
          <rPr>
            <sz val="11"/>
            <color theme="1"/>
            <rFont val="Calibri"/>
            <family val="2"/>
            <scheme val="minor"/>
          </rPr>
          <t>Introduzca un codigo UNSPSC</t>
        </r>
      </text>
    </comment>
    <comment ref="B449" authorId="2" shapeId="0" xr:uid="{00000000-0006-0000-0100-0000F6010000}">
      <text>
        <r>
          <rPr>
            <sz val="11"/>
            <color theme="1"/>
            <rFont val="Calibri"/>
            <family val="2"/>
            <scheme val="minor"/>
          </rPr>
          <t>Descripción calculada automáticamente a partir de código del artículo</t>
        </r>
      </text>
    </comment>
    <comment ref="C449" authorId="2" shapeId="0" xr:uid="{00000000-0006-0000-0100-0000F7010000}">
      <text>
        <r>
          <rPr>
            <sz val="11"/>
            <color theme="1"/>
            <rFont val="Calibri"/>
            <family val="2"/>
            <scheme val="minor"/>
          </rPr>
          <t>Seleccione un valor de la lista</t>
        </r>
      </text>
    </comment>
    <comment ref="D449" authorId="2" shapeId="0" xr:uid="{00000000-0006-0000-0100-0000F8010000}">
      <text>
        <r>
          <rPr>
            <sz val="11"/>
            <color theme="1"/>
            <rFont val="Calibri"/>
            <family val="2"/>
            <scheme val="minor"/>
          </rPr>
          <t>Introduzca un número con dos decimales como máximo. Debe ser igual o mayor a la "Cantidad Real Consumida"</t>
        </r>
      </text>
    </comment>
    <comment ref="E449" authorId="2" shapeId="0" xr:uid="{00000000-0006-0000-0100-0000F9010000}">
      <text>
        <r>
          <rPr>
            <sz val="11"/>
            <color theme="1"/>
            <rFont val="Calibri"/>
            <family val="2"/>
            <scheme val="minor"/>
          </rPr>
          <t>Introduzca un número con dos decimales como máximo</t>
        </r>
      </text>
    </comment>
    <comment ref="F449" authorId="2" shapeId="0" xr:uid="{00000000-0006-0000-0100-0000FA010000}">
      <text>
        <r>
          <rPr>
            <sz val="11"/>
            <color theme="1"/>
            <rFont val="Calibri"/>
            <family val="2"/>
            <scheme val="minor"/>
          </rPr>
          <t>Monto calculado automáticamente por el sistema</t>
        </r>
      </text>
    </comment>
    <comment ref="A458" authorId="2" shapeId="0" xr:uid="{00000000-0006-0000-0100-0000FB010000}">
      <text>
        <r>
          <rPr>
            <sz val="11"/>
            <color theme="1"/>
            <rFont val="Calibri"/>
            <family val="2"/>
            <scheme val="minor"/>
          </rPr>
          <t>Introducir un texto con el nombre o referencia de la contratación</t>
        </r>
      </text>
    </comment>
    <comment ref="B458" authorId="2" shapeId="0" xr:uid="{00000000-0006-0000-0100-0000FC010000}">
      <text>
        <r>
          <rPr>
            <sz val="11"/>
            <color theme="1"/>
            <rFont val="Calibri"/>
            <family val="2"/>
            <scheme val="minor"/>
          </rPr>
          <t>Introduzca un texto con la finalidad de la contratación</t>
        </r>
      </text>
    </comment>
    <comment ref="C458" authorId="2" shapeId="0" xr:uid="{00000000-0006-0000-0100-0000FD010000}">
      <text>
        <r>
          <rPr>
            <sz val="11"/>
            <color theme="1"/>
            <rFont val="Calibri"/>
            <family val="2"/>
            <scheme val="minor"/>
          </rPr>
          <t>Seleccionar un valor del listado</t>
        </r>
      </text>
    </comment>
    <comment ref="D458" authorId="2" shapeId="0" xr:uid="{00000000-0006-0000-0100-0000FE010000}">
      <text>
        <r>
          <rPr>
            <sz val="11"/>
            <color theme="1"/>
            <rFont val="Calibri"/>
            <family val="2"/>
            <scheme val="minor"/>
          </rPr>
          <t>Seleccione el tipo de procedimiento</t>
        </r>
      </text>
    </comment>
    <comment ref="E458" authorId="2" shapeId="0" xr:uid="{00000000-0006-0000-0100-0000FF010000}">
      <text>
        <r>
          <rPr>
            <sz val="11"/>
            <color theme="1"/>
            <rFont val="Calibri"/>
            <family val="2"/>
            <scheme val="minor"/>
          </rPr>
          <t>Seleccione un valor de la lista</t>
        </r>
      </text>
    </comment>
    <comment ref="F458" authorId="2" shapeId="0" xr:uid="{00000000-0006-0000-0100-000000020000}">
      <text>
        <r>
          <rPr>
            <sz val="11"/>
            <color theme="1"/>
            <rFont val="Calibri"/>
            <family val="2"/>
            <scheme val="minor"/>
          </rPr>
          <t>Introduzca el código SNIP</t>
        </r>
      </text>
    </comment>
    <comment ref="C459" authorId="2" shapeId="0" xr:uid="{00000000-0006-0000-0100-000001020000}">
      <text>
        <r>
          <rPr>
            <sz val="11"/>
            <color theme="1"/>
            <rFont val="Calibri"/>
            <family val="2"/>
            <scheme val="minor"/>
          </rPr>
          <t>Introduzca la fecha de inicio del proceso, en formato dd-mm-aaaa</t>
        </r>
      </text>
    </comment>
    <comment ref="F459"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2" shapeId="0" xr:uid="{00000000-0006-0000-0100-000003020000}">
      <text/>
    </comment>
    <comment ref="C461" authorId="2" shapeId="0" xr:uid="{00000000-0006-0000-0100-000004020000}">
      <text>
        <r>
          <rPr>
            <sz val="11"/>
            <color theme="1"/>
            <rFont val="Calibri"/>
            <family val="2"/>
            <scheme val="minor"/>
          </rPr>
          <t>Introduzca la fecha prevista de adjudicación, en formato dd-mm-aaaa</t>
        </r>
      </text>
    </comment>
    <comment ref="F461" authorId="2" shapeId="0" xr:uid="{00000000-0006-0000-0100-000005020000}">
      <text/>
    </comment>
    <comment ref="F462" authorId="2" shapeId="0" xr:uid="{00000000-0006-0000-0100-000006020000}">
      <text/>
    </comment>
    <comment ref="A464" authorId="2" shapeId="0" xr:uid="{00000000-0006-0000-0100-000007020000}">
      <text>
        <r>
          <rPr>
            <sz val="11"/>
            <color theme="1"/>
            <rFont val="Calibri"/>
            <family val="2"/>
            <scheme val="minor"/>
          </rPr>
          <t>Introduzca un codigo UNSPSC</t>
        </r>
      </text>
    </comment>
    <comment ref="B464" authorId="2" shapeId="0" xr:uid="{00000000-0006-0000-0100-000008020000}">
      <text>
        <r>
          <rPr>
            <sz val="11"/>
            <color theme="1"/>
            <rFont val="Calibri"/>
            <family val="2"/>
            <scheme val="minor"/>
          </rPr>
          <t>Descripción calculada automáticamente a partir de código del artículo</t>
        </r>
      </text>
    </comment>
    <comment ref="C464" authorId="2" shapeId="0" xr:uid="{00000000-0006-0000-0100-000009020000}">
      <text>
        <r>
          <rPr>
            <sz val="11"/>
            <color theme="1"/>
            <rFont val="Calibri"/>
            <family val="2"/>
            <scheme val="minor"/>
          </rPr>
          <t>Seleccione un valor de la lista</t>
        </r>
      </text>
    </comment>
    <comment ref="D464" authorId="2" shapeId="0" xr:uid="{00000000-0006-0000-0100-00000A020000}">
      <text>
        <r>
          <rPr>
            <sz val="11"/>
            <color theme="1"/>
            <rFont val="Calibri"/>
            <family val="2"/>
            <scheme val="minor"/>
          </rPr>
          <t>Introduzca un número con dos decimales como máximo. Debe ser igual o mayor a la "Cantidad Real Consumida"</t>
        </r>
      </text>
    </comment>
    <comment ref="E464" authorId="2" shapeId="0" xr:uid="{00000000-0006-0000-0100-00000B020000}">
      <text>
        <r>
          <rPr>
            <sz val="11"/>
            <color theme="1"/>
            <rFont val="Calibri"/>
            <family val="2"/>
            <scheme val="minor"/>
          </rPr>
          <t>Introduzca un número con dos decimales como máximo</t>
        </r>
      </text>
    </comment>
    <comment ref="F464" authorId="2" shapeId="0" xr:uid="{00000000-0006-0000-0100-00000C020000}">
      <text>
        <r>
          <rPr>
            <sz val="11"/>
            <color theme="1"/>
            <rFont val="Calibri"/>
            <family val="2"/>
            <scheme val="minor"/>
          </rPr>
          <t>Monto calculado automáticamente por el sistema</t>
        </r>
      </text>
    </comment>
    <comment ref="A473" authorId="2" shapeId="0" xr:uid="{00000000-0006-0000-0100-00000D020000}">
      <text>
        <r>
          <rPr>
            <sz val="11"/>
            <color theme="1"/>
            <rFont val="Calibri"/>
            <family val="2"/>
            <scheme val="minor"/>
          </rPr>
          <t>Introducir un texto con el nombre o referencia de la contratación</t>
        </r>
      </text>
    </comment>
    <comment ref="B473" authorId="2" shapeId="0" xr:uid="{00000000-0006-0000-0100-00000E020000}">
      <text>
        <r>
          <rPr>
            <sz val="11"/>
            <color theme="1"/>
            <rFont val="Calibri"/>
            <family val="2"/>
            <scheme val="minor"/>
          </rPr>
          <t>Introduzca un texto con la finalidad de la contratación</t>
        </r>
      </text>
    </comment>
    <comment ref="C473" authorId="2" shapeId="0" xr:uid="{00000000-0006-0000-0100-00000F020000}">
      <text>
        <r>
          <rPr>
            <sz val="11"/>
            <color theme="1"/>
            <rFont val="Calibri"/>
            <family val="2"/>
            <scheme val="minor"/>
          </rPr>
          <t>Seleccionar un valor del listado</t>
        </r>
      </text>
    </comment>
    <comment ref="D473" authorId="2" shapeId="0" xr:uid="{00000000-0006-0000-0100-000010020000}">
      <text>
        <r>
          <rPr>
            <sz val="11"/>
            <color theme="1"/>
            <rFont val="Calibri"/>
            <family val="2"/>
            <scheme val="minor"/>
          </rPr>
          <t>Seleccione el tipo de procedimiento</t>
        </r>
      </text>
    </comment>
    <comment ref="E473" authorId="2" shapeId="0" xr:uid="{00000000-0006-0000-0100-000011020000}">
      <text>
        <r>
          <rPr>
            <sz val="11"/>
            <color theme="1"/>
            <rFont val="Calibri"/>
            <family val="2"/>
            <scheme val="minor"/>
          </rPr>
          <t>Seleccione un valor de la lista</t>
        </r>
      </text>
    </comment>
    <comment ref="F473" authorId="2" shapeId="0" xr:uid="{00000000-0006-0000-0100-000012020000}">
      <text>
        <r>
          <rPr>
            <sz val="11"/>
            <color theme="1"/>
            <rFont val="Calibri"/>
            <family val="2"/>
            <scheme val="minor"/>
          </rPr>
          <t>Introduzca el código SNIP</t>
        </r>
      </text>
    </comment>
    <comment ref="C474" authorId="2" shapeId="0" xr:uid="{00000000-0006-0000-0100-000013020000}">
      <text>
        <r>
          <rPr>
            <sz val="11"/>
            <color theme="1"/>
            <rFont val="Calibri"/>
            <family val="2"/>
            <scheme val="minor"/>
          </rPr>
          <t>Introduzca la fecha de inicio del proceso, en formato dd-mm-aaaa</t>
        </r>
      </text>
    </comment>
    <comment ref="F474"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2" shapeId="0" xr:uid="{00000000-0006-0000-0100-000015020000}">
      <text/>
    </comment>
    <comment ref="C476" authorId="2" shapeId="0" xr:uid="{00000000-0006-0000-0100-000016020000}">
      <text>
        <r>
          <rPr>
            <sz val="11"/>
            <color theme="1"/>
            <rFont val="Calibri"/>
            <family val="2"/>
            <scheme val="minor"/>
          </rPr>
          <t>Introduzca la fecha prevista de adjudicación, en formato dd-mm-aaaa</t>
        </r>
      </text>
    </comment>
    <comment ref="F476" authorId="2" shapeId="0" xr:uid="{00000000-0006-0000-0100-000017020000}">
      <text/>
    </comment>
    <comment ref="F477" authorId="2" shapeId="0" xr:uid="{00000000-0006-0000-0100-000018020000}">
      <text/>
    </comment>
    <comment ref="A479" authorId="2" shapeId="0" xr:uid="{00000000-0006-0000-0100-000019020000}">
      <text>
        <r>
          <rPr>
            <sz val="11"/>
            <color theme="1"/>
            <rFont val="Calibri"/>
            <family val="2"/>
            <scheme val="minor"/>
          </rPr>
          <t>Introduzca un codigo UNSPSC</t>
        </r>
      </text>
    </comment>
    <comment ref="B479" authorId="2" shapeId="0" xr:uid="{00000000-0006-0000-0100-00001A020000}">
      <text>
        <r>
          <rPr>
            <sz val="11"/>
            <color theme="1"/>
            <rFont val="Calibri"/>
            <family val="2"/>
            <scheme val="minor"/>
          </rPr>
          <t>Descripción calculada automáticamente a partir de código del artículo</t>
        </r>
      </text>
    </comment>
    <comment ref="C479" authorId="2" shapeId="0" xr:uid="{00000000-0006-0000-0100-00001B020000}">
      <text>
        <r>
          <rPr>
            <sz val="11"/>
            <color theme="1"/>
            <rFont val="Calibri"/>
            <family val="2"/>
            <scheme val="minor"/>
          </rPr>
          <t>Seleccione un valor de la lista</t>
        </r>
      </text>
    </comment>
    <comment ref="D479" authorId="2" shapeId="0" xr:uid="{00000000-0006-0000-0100-00001C020000}">
      <text>
        <r>
          <rPr>
            <sz val="11"/>
            <color theme="1"/>
            <rFont val="Calibri"/>
            <family val="2"/>
            <scheme val="minor"/>
          </rPr>
          <t>Introduzca un número con dos decimales como máximo. Debe ser igual o mayor a la "Cantidad Real Consumida"</t>
        </r>
      </text>
    </comment>
    <comment ref="E479" authorId="2" shapeId="0" xr:uid="{00000000-0006-0000-0100-00001D020000}">
      <text>
        <r>
          <rPr>
            <sz val="11"/>
            <color theme="1"/>
            <rFont val="Calibri"/>
            <family val="2"/>
            <scheme val="minor"/>
          </rPr>
          <t>Introduzca un número con dos decimales como máximo</t>
        </r>
      </text>
    </comment>
    <comment ref="F479" authorId="2" shapeId="0" xr:uid="{00000000-0006-0000-0100-00001E020000}">
      <text>
        <r>
          <rPr>
            <sz val="11"/>
            <color theme="1"/>
            <rFont val="Calibri"/>
            <family val="2"/>
            <scheme val="minor"/>
          </rPr>
          <t>Monto calculado automáticamente por el sistema</t>
        </r>
      </text>
    </comment>
    <comment ref="A485" authorId="2" shapeId="0" xr:uid="{00000000-0006-0000-0100-00001F020000}">
      <text>
        <r>
          <rPr>
            <sz val="11"/>
            <color theme="1"/>
            <rFont val="Calibri"/>
            <family val="2"/>
            <scheme val="minor"/>
          </rPr>
          <t>Introducir un texto con el nombre o referencia de la contratación</t>
        </r>
      </text>
    </comment>
    <comment ref="B485" authorId="2" shapeId="0" xr:uid="{00000000-0006-0000-0100-000020020000}">
      <text>
        <r>
          <rPr>
            <sz val="11"/>
            <color theme="1"/>
            <rFont val="Calibri"/>
            <family val="2"/>
            <scheme val="minor"/>
          </rPr>
          <t>Introduzca un texto con la finalidad de la contratación</t>
        </r>
      </text>
    </comment>
    <comment ref="C485" authorId="2" shapeId="0" xr:uid="{00000000-0006-0000-0100-000021020000}">
      <text>
        <r>
          <rPr>
            <sz val="11"/>
            <color theme="1"/>
            <rFont val="Calibri"/>
            <family val="2"/>
            <scheme val="minor"/>
          </rPr>
          <t>Seleccionar un valor del listado</t>
        </r>
      </text>
    </comment>
    <comment ref="D485" authorId="2" shapeId="0" xr:uid="{00000000-0006-0000-0100-000022020000}">
      <text>
        <r>
          <rPr>
            <sz val="11"/>
            <color theme="1"/>
            <rFont val="Calibri"/>
            <family val="2"/>
            <scheme val="minor"/>
          </rPr>
          <t>Seleccione el tipo de procedimiento</t>
        </r>
      </text>
    </comment>
    <comment ref="E485" authorId="2" shapeId="0" xr:uid="{00000000-0006-0000-0100-000023020000}">
      <text>
        <r>
          <rPr>
            <sz val="11"/>
            <color theme="1"/>
            <rFont val="Calibri"/>
            <family val="2"/>
            <scheme val="minor"/>
          </rPr>
          <t>Seleccione un valor de la lista</t>
        </r>
      </text>
    </comment>
    <comment ref="F485" authorId="2" shapeId="0" xr:uid="{00000000-0006-0000-0100-000024020000}">
      <text>
        <r>
          <rPr>
            <sz val="11"/>
            <color theme="1"/>
            <rFont val="Calibri"/>
            <family val="2"/>
            <scheme val="minor"/>
          </rPr>
          <t>Introduzca el código SNIP</t>
        </r>
      </text>
    </comment>
    <comment ref="C486" authorId="2" shapeId="0" xr:uid="{00000000-0006-0000-0100-000025020000}">
      <text>
        <r>
          <rPr>
            <sz val="11"/>
            <color theme="1"/>
            <rFont val="Calibri"/>
            <family val="2"/>
            <scheme val="minor"/>
          </rPr>
          <t>Introduzca la fecha de inicio del proceso, en formato dd-mm-aaaa</t>
        </r>
      </text>
    </comment>
    <comment ref="F486"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2" shapeId="0" xr:uid="{00000000-0006-0000-0100-000027020000}">
      <text/>
    </comment>
    <comment ref="C488" authorId="2" shapeId="0" xr:uid="{00000000-0006-0000-0100-000028020000}">
      <text>
        <r>
          <rPr>
            <sz val="11"/>
            <color theme="1"/>
            <rFont val="Calibri"/>
            <family val="2"/>
            <scheme val="minor"/>
          </rPr>
          <t>Introduzca la fecha prevista de adjudicación, en formato dd-mm-aaaa</t>
        </r>
      </text>
    </comment>
    <comment ref="F488" authorId="2" shapeId="0" xr:uid="{00000000-0006-0000-0100-000029020000}">
      <text/>
    </comment>
    <comment ref="F489" authorId="2" shapeId="0" xr:uid="{00000000-0006-0000-0100-00002A020000}">
      <text/>
    </comment>
    <comment ref="A491" authorId="2" shapeId="0" xr:uid="{00000000-0006-0000-0100-00002B020000}">
      <text>
        <r>
          <rPr>
            <sz val="11"/>
            <color theme="1"/>
            <rFont val="Calibri"/>
            <family val="2"/>
            <scheme val="minor"/>
          </rPr>
          <t>Introduzca un codigo UNSPSC</t>
        </r>
      </text>
    </comment>
    <comment ref="B491" authorId="2" shapeId="0" xr:uid="{00000000-0006-0000-0100-00002C020000}">
      <text>
        <r>
          <rPr>
            <sz val="11"/>
            <color theme="1"/>
            <rFont val="Calibri"/>
            <family val="2"/>
            <scheme val="minor"/>
          </rPr>
          <t>Descripción calculada automáticamente a partir de código del artículo</t>
        </r>
      </text>
    </comment>
    <comment ref="C491" authorId="2" shapeId="0" xr:uid="{00000000-0006-0000-0100-00002D020000}">
      <text>
        <r>
          <rPr>
            <sz val="11"/>
            <color theme="1"/>
            <rFont val="Calibri"/>
            <family val="2"/>
            <scheme val="minor"/>
          </rPr>
          <t>Seleccione un valor de la lista</t>
        </r>
      </text>
    </comment>
    <comment ref="D491" authorId="2" shapeId="0" xr:uid="{00000000-0006-0000-0100-00002E020000}">
      <text>
        <r>
          <rPr>
            <sz val="11"/>
            <color theme="1"/>
            <rFont val="Calibri"/>
            <family val="2"/>
            <scheme val="minor"/>
          </rPr>
          <t>Introduzca un número con dos decimales como máximo. Debe ser igual o mayor a la "Cantidad Real Consumida"</t>
        </r>
      </text>
    </comment>
    <comment ref="E491" authorId="2" shapeId="0" xr:uid="{00000000-0006-0000-0100-00002F020000}">
      <text>
        <r>
          <rPr>
            <sz val="11"/>
            <color theme="1"/>
            <rFont val="Calibri"/>
            <family val="2"/>
            <scheme val="minor"/>
          </rPr>
          <t>Introduzca un número con dos decimales como máximo</t>
        </r>
      </text>
    </comment>
    <comment ref="F491" authorId="2" shapeId="0" xr:uid="{00000000-0006-0000-0100-000030020000}">
      <text>
        <r>
          <rPr>
            <sz val="11"/>
            <color theme="1"/>
            <rFont val="Calibri"/>
            <family val="2"/>
            <scheme val="minor"/>
          </rPr>
          <t>Monto calculado automáticamente por el sistema</t>
        </r>
      </text>
    </comment>
    <comment ref="A497" authorId="2" shapeId="0" xr:uid="{00000000-0006-0000-0100-000031020000}">
      <text>
        <r>
          <rPr>
            <sz val="11"/>
            <color theme="1"/>
            <rFont val="Calibri"/>
            <family val="2"/>
            <scheme val="minor"/>
          </rPr>
          <t>Introducir un texto con el nombre o referencia de la contratación</t>
        </r>
      </text>
    </comment>
    <comment ref="B497" authorId="2" shapeId="0" xr:uid="{00000000-0006-0000-0100-000032020000}">
      <text>
        <r>
          <rPr>
            <sz val="11"/>
            <color theme="1"/>
            <rFont val="Calibri"/>
            <family val="2"/>
            <scheme val="minor"/>
          </rPr>
          <t>Introduzca un texto con la finalidad de la contratación</t>
        </r>
      </text>
    </comment>
    <comment ref="C497" authorId="2" shapeId="0" xr:uid="{00000000-0006-0000-0100-000033020000}">
      <text>
        <r>
          <rPr>
            <sz val="11"/>
            <color theme="1"/>
            <rFont val="Calibri"/>
            <family val="2"/>
            <scheme val="minor"/>
          </rPr>
          <t>Seleccionar un valor del listado</t>
        </r>
      </text>
    </comment>
    <comment ref="D497" authorId="2" shapeId="0" xr:uid="{00000000-0006-0000-0100-000034020000}">
      <text>
        <r>
          <rPr>
            <sz val="11"/>
            <color theme="1"/>
            <rFont val="Calibri"/>
            <family val="2"/>
            <scheme val="minor"/>
          </rPr>
          <t>Seleccione el tipo de procedimiento</t>
        </r>
      </text>
    </comment>
    <comment ref="E497" authorId="2" shapeId="0" xr:uid="{00000000-0006-0000-0100-000035020000}">
      <text>
        <r>
          <rPr>
            <sz val="11"/>
            <color theme="1"/>
            <rFont val="Calibri"/>
            <family val="2"/>
            <scheme val="minor"/>
          </rPr>
          <t>Seleccione un valor de la lista</t>
        </r>
      </text>
    </comment>
    <comment ref="F497" authorId="2" shapeId="0" xr:uid="{00000000-0006-0000-0100-000036020000}">
      <text>
        <r>
          <rPr>
            <sz val="11"/>
            <color theme="1"/>
            <rFont val="Calibri"/>
            <family val="2"/>
            <scheme val="minor"/>
          </rPr>
          <t>Introduzca el código SNIP</t>
        </r>
      </text>
    </comment>
    <comment ref="C498" authorId="2" shapeId="0" xr:uid="{00000000-0006-0000-0100-000037020000}">
      <text>
        <r>
          <rPr>
            <sz val="11"/>
            <color theme="1"/>
            <rFont val="Calibri"/>
            <family val="2"/>
            <scheme val="minor"/>
          </rPr>
          <t>Introduzca la fecha de inicio del proceso, en formato dd-mm-aaaa</t>
        </r>
      </text>
    </comment>
    <comment ref="F498"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2" shapeId="0" xr:uid="{00000000-0006-0000-0100-000039020000}">
      <text/>
    </comment>
    <comment ref="C500" authorId="2" shapeId="0" xr:uid="{00000000-0006-0000-0100-00003A020000}">
      <text>
        <r>
          <rPr>
            <sz val="11"/>
            <color theme="1"/>
            <rFont val="Calibri"/>
            <family val="2"/>
            <scheme val="minor"/>
          </rPr>
          <t>Introduzca la fecha prevista de adjudicación, en formato dd-mm-aaaa</t>
        </r>
      </text>
    </comment>
    <comment ref="F500" authorId="2" shapeId="0" xr:uid="{00000000-0006-0000-0100-00003B020000}">
      <text/>
    </comment>
    <comment ref="F501" authorId="2" shapeId="0" xr:uid="{00000000-0006-0000-0100-00003C020000}">
      <text/>
    </comment>
    <comment ref="A503" authorId="2" shapeId="0" xr:uid="{00000000-0006-0000-0100-00003D020000}">
      <text>
        <r>
          <rPr>
            <sz val="11"/>
            <color theme="1"/>
            <rFont val="Calibri"/>
            <family val="2"/>
            <scheme val="minor"/>
          </rPr>
          <t>Introduzca un codigo UNSPSC</t>
        </r>
      </text>
    </comment>
    <comment ref="B503" authorId="2" shapeId="0" xr:uid="{00000000-0006-0000-0100-00003E020000}">
      <text>
        <r>
          <rPr>
            <sz val="11"/>
            <color theme="1"/>
            <rFont val="Calibri"/>
            <family val="2"/>
            <scheme val="minor"/>
          </rPr>
          <t>Descripción calculada automáticamente a partir de código del artículo</t>
        </r>
      </text>
    </comment>
    <comment ref="C503" authorId="2" shapeId="0" xr:uid="{00000000-0006-0000-0100-00003F020000}">
      <text>
        <r>
          <rPr>
            <sz val="11"/>
            <color theme="1"/>
            <rFont val="Calibri"/>
            <family val="2"/>
            <scheme val="minor"/>
          </rPr>
          <t>Seleccione un valor de la lista</t>
        </r>
      </text>
    </comment>
    <comment ref="D503" authorId="2" shapeId="0" xr:uid="{00000000-0006-0000-0100-000040020000}">
      <text>
        <r>
          <rPr>
            <sz val="11"/>
            <color theme="1"/>
            <rFont val="Calibri"/>
            <family val="2"/>
            <scheme val="minor"/>
          </rPr>
          <t>Introduzca un número con dos decimales como máximo. Debe ser igual o mayor a la "Cantidad Real Consumida"</t>
        </r>
      </text>
    </comment>
    <comment ref="E503" authorId="2" shapeId="0" xr:uid="{00000000-0006-0000-0100-000041020000}">
      <text>
        <r>
          <rPr>
            <sz val="11"/>
            <color theme="1"/>
            <rFont val="Calibri"/>
            <family val="2"/>
            <scheme val="minor"/>
          </rPr>
          <t>Introduzca un número con dos decimales como máximo</t>
        </r>
      </text>
    </comment>
    <comment ref="F503" authorId="2" shapeId="0" xr:uid="{00000000-0006-0000-0100-000042020000}">
      <text>
        <r>
          <rPr>
            <sz val="11"/>
            <color theme="1"/>
            <rFont val="Calibri"/>
            <family val="2"/>
            <scheme val="minor"/>
          </rPr>
          <t>Monto calculado automáticamente por el sistema</t>
        </r>
      </text>
    </comment>
    <comment ref="A508" authorId="2" shapeId="0" xr:uid="{00000000-0006-0000-0100-000043020000}">
      <text>
        <r>
          <rPr>
            <sz val="11"/>
            <color theme="1"/>
            <rFont val="Calibri"/>
            <family val="2"/>
            <scheme val="minor"/>
          </rPr>
          <t>Introducir un texto con el nombre o referencia de la contratación</t>
        </r>
      </text>
    </comment>
    <comment ref="B508" authorId="2" shapeId="0" xr:uid="{00000000-0006-0000-0100-000044020000}">
      <text>
        <r>
          <rPr>
            <sz val="11"/>
            <color theme="1"/>
            <rFont val="Calibri"/>
            <family val="2"/>
            <scheme val="minor"/>
          </rPr>
          <t>Introduzca un texto con la finalidad de la contratación</t>
        </r>
      </text>
    </comment>
    <comment ref="C508" authorId="2" shapeId="0" xr:uid="{00000000-0006-0000-0100-000045020000}">
      <text>
        <r>
          <rPr>
            <sz val="11"/>
            <color theme="1"/>
            <rFont val="Calibri"/>
            <family val="2"/>
            <scheme val="minor"/>
          </rPr>
          <t>Seleccionar un valor del listado</t>
        </r>
      </text>
    </comment>
    <comment ref="D508" authorId="2" shapeId="0" xr:uid="{00000000-0006-0000-0100-000046020000}">
      <text>
        <r>
          <rPr>
            <sz val="11"/>
            <color theme="1"/>
            <rFont val="Calibri"/>
            <family val="2"/>
            <scheme val="minor"/>
          </rPr>
          <t>Seleccione el tipo de procedimiento</t>
        </r>
      </text>
    </comment>
    <comment ref="E508" authorId="2" shapeId="0" xr:uid="{00000000-0006-0000-0100-000047020000}">
      <text>
        <r>
          <rPr>
            <sz val="11"/>
            <color theme="1"/>
            <rFont val="Calibri"/>
            <family val="2"/>
            <scheme val="minor"/>
          </rPr>
          <t>Seleccione un valor de la lista</t>
        </r>
      </text>
    </comment>
    <comment ref="F508" authorId="2" shapeId="0" xr:uid="{00000000-0006-0000-0100-000048020000}">
      <text>
        <r>
          <rPr>
            <sz val="11"/>
            <color theme="1"/>
            <rFont val="Calibri"/>
            <family val="2"/>
            <scheme val="minor"/>
          </rPr>
          <t>Introduzca el código SNIP</t>
        </r>
      </text>
    </comment>
    <comment ref="C509" authorId="2" shapeId="0" xr:uid="{00000000-0006-0000-0100-000049020000}">
      <text>
        <r>
          <rPr>
            <sz val="11"/>
            <color theme="1"/>
            <rFont val="Calibri"/>
            <family val="2"/>
            <scheme val="minor"/>
          </rPr>
          <t>Introduzca la fecha de inicio del proceso, en formato dd-mm-aaaa</t>
        </r>
      </text>
    </comment>
    <comment ref="F509"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2" shapeId="0" xr:uid="{00000000-0006-0000-0100-00004B020000}">
      <text/>
    </comment>
    <comment ref="C511" authorId="2" shapeId="0" xr:uid="{00000000-0006-0000-0100-00004C020000}">
      <text>
        <r>
          <rPr>
            <sz val="11"/>
            <color theme="1"/>
            <rFont val="Calibri"/>
            <family val="2"/>
            <scheme val="minor"/>
          </rPr>
          <t>Introduzca la fecha prevista de adjudicación, en formato dd-mm-aaaa</t>
        </r>
      </text>
    </comment>
    <comment ref="F511" authorId="2" shapeId="0" xr:uid="{00000000-0006-0000-0100-00004D020000}">
      <text/>
    </comment>
    <comment ref="F512" authorId="2" shapeId="0" xr:uid="{00000000-0006-0000-0100-00004E020000}">
      <text/>
    </comment>
    <comment ref="A514" authorId="2" shapeId="0" xr:uid="{00000000-0006-0000-0100-00004F020000}">
      <text>
        <r>
          <rPr>
            <sz val="11"/>
            <color theme="1"/>
            <rFont val="Calibri"/>
            <family val="2"/>
            <scheme val="minor"/>
          </rPr>
          <t>Introduzca un codigo UNSPSC</t>
        </r>
      </text>
    </comment>
    <comment ref="B514" authorId="2" shapeId="0" xr:uid="{00000000-0006-0000-0100-000050020000}">
      <text>
        <r>
          <rPr>
            <sz val="11"/>
            <color theme="1"/>
            <rFont val="Calibri"/>
            <family val="2"/>
            <scheme val="minor"/>
          </rPr>
          <t>Descripción calculada automáticamente a partir de código del artículo</t>
        </r>
      </text>
    </comment>
    <comment ref="C514" authorId="2" shapeId="0" xr:uid="{00000000-0006-0000-0100-000051020000}">
      <text>
        <r>
          <rPr>
            <sz val="11"/>
            <color theme="1"/>
            <rFont val="Calibri"/>
            <family val="2"/>
            <scheme val="minor"/>
          </rPr>
          <t>Seleccione un valor de la lista</t>
        </r>
      </text>
    </comment>
    <comment ref="D514" authorId="2" shapeId="0" xr:uid="{00000000-0006-0000-0100-000052020000}">
      <text>
        <r>
          <rPr>
            <sz val="11"/>
            <color theme="1"/>
            <rFont val="Calibri"/>
            <family val="2"/>
            <scheme val="minor"/>
          </rPr>
          <t>Introduzca un número con dos decimales como máximo. Debe ser igual o mayor a la "Cantidad Real Consumida"</t>
        </r>
      </text>
    </comment>
    <comment ref="E514" authorId="2" shapeId="0" xr:uid="{00000000-0006-0000-0100-000053020000}">
      <text>
        <r>
          <rPr>
            <sz val="11"/>
            <color theme="1"/>
            <rFont val="Calibri"/>
            <family val="2"/>
            <scheme val="minor"/>
          </rPr>
          <t>Introduzca un número con dos decimales como máximo</t>
        </r>
      </text>
    </comment>
    <comment ref="F514" authorId="2" shapeId="0" xr:uid="{00000000-0006-0000-0100-000054020000}">
      <text>
        <r>
          <rPr>
            <sz val="11"/>
            <color theme="1"/>
            <rFont val="Calibri"/>
            <family val="2"/>
            <scheme val="minor"/>
          </rPr>
          <t>Monto calculado automáticamente por el sistema</t>
        </r>
      </text>
    </comment>
    <comment ref="A558" authorId="2" shapeId="0" xr:uid="{00000000-0006-0000-0100-000055020000}">
      <text>
        <r>
          <rPr>
            <sz val="11"/>
            <color theme="1"/>
            <rFont val="Calibri"/>
            <family val="2"/>
            <scheme val="minor"/>
          </rPr>
          <t>Introducir un texto con el nombre o referencia de la contratación</t>
        </r>
      </text>
    </comment>
    <comment ref="B558" authorId="2" shapeId="0" xr:uid="{00000000-0006-0000-0100-000056020000}">
      <text>
        <r>
          <rPr>
            <sz val="11"/>
            <color theme="1"/>
            <rFont val="Calibri"/>
            <family val="2"/>
            <scheme val="minor"/>
          </rPr>
          <t>Introduzca un texto con la finalidad de la contratación</t>
        </r>
      </text>
    </comment>
    <comment ref="C558" authorId="2" shapeId="0" xr:uid="{00000000-0006-0000-0100-000057020000}">
      <text>
        <r>
          <rPr>
            <sz val="11"/>
            <color theme="1"/>
            <rFont val="Calibri"/>
            <family val="2"/>
            <scheme val="minor"/>
          </rPr>
          <t>Seleccionar un valor del listado</t>
        </r>
      </text>
    </comment>
    <comment ref="D558" authorId="2" shapeId="0" xr:uid="{00000000-0006-0000-0100-000058020000}">
      <text>
        <r>
          <rPr>
            <sz val="11"/>
            <color theme="1"/>
            <rFont val="Calibri"/>
            <family val="2"/>
            <scheme val="minor"/>
          </rPr>
          <t>Seleccione el tipo de procedimiento</t>
        </r>
      </text>
    </comment>
    <comment ref="E558" authorId="2" shapeId="0" xr:uid="{00000000-0006-0000-0100-000059020000}">
      <text>
        <r>
          <rPr>
            <sz val="11"/>
            <color theme="1"/>
            <rFont val="Calibri"/>
            <family val="2"/>
            <scheme val="minor"/>
          </rPr>
          <t>Seleccione un valor de la lista</t>
        </r>
      </text>
    </comment>
    <comment ref="F558" authorId="2" shapeId="0" xr:uid="{00000000-0006-0000-0100-00005A020000}">
      <text>
        <r>
          <rPr>
            <sz val="11"/>
            <color theme="1"/>
            <rFont val="Calibri"/>
            <family val="2"/>
            <scheme val="minor"/>
          </rPr>
          <t>Introduzca el código SNIP</t>
        </r>
      </text>
    </comment>
    <comment ref="C559" authorId="2" shapeId="0" xr:uid="{00000000-0006-0000-0100-00005B020000}">
      <text>
        <r>
          <rPr>
            <sz val="11"/>
            <color theme="1"/>
            <rFont val="Calibri"/>
            <family val="2"/>
            <scheme val="minor"/>
          </rPr>
          <t>Introduzca la fecha de inicio del proceso, en formato dd-mm-aaaa</t>
        </r>
      </text>
    </comment>
    <comment ref="F559"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2" shapeId="0" xr:uid="{00000000-0006-0000-0100-00005D020000}">
      <text/>
    </comment>
    <comment ref="C561" authorId="2" shapeId="0" xr:uid="{00000000-0006-0000-0100-00005E020000}">
      <text>
        <r>
          <rPr>
            <sz val="11"/>
            <color theme="1"/>
            <rFont val="Calibri"/>
            <family val="2"/>
            <scheme val="minor"/>
          </rPr>
          <t>Introduzca la fecha prevista de adjudicación, en formato dd-mm-aaaa</t>
        </r>
      </text>
    </comment>
    <comment ref="F561" authorId="2" shapeId="0" xr:uid="{00000000-0006-0000-0100-00005F020000}">
      <text/>
    </comment>
    <comment ref="F562" authorId="2" shapeId="0" xr:uid="{00000000-0006-0000-0100-000060020000}">
      <text/>
    </comment>
    <comment ref="A564" authorId="2" shapeId="0" xr:uid="{00000000-0006-0000-0100-000061020000}">
      <text>
        <r>
          <rPr>
            <sz val="11"/>
            <color theme="1"/>
            <rFont val="Calibri"/>
            <family val="2"/>
            <scheme val="minor"/>
          </rPr>
          <t>Introduzca un codigo UNSPSC</t>
        </r>
      </text>
    </comment>
    <comment ref="B564" authorId="2" shapeId="0" xr:uid="{00000000-0006-0000-0100-000062020000}">
      <text>
        <r>
          <rPr>
            <sz val="11"/>
            <color theme="1"/>
            <rFont val="Calibri"/>
            <family val="2"/>
            <scheme val="minor"/>
          </rPr>
          <t>Descripción calculada automáticamente a partir de código del artículo</t>
        </r>
      </text>
    </comment>
    <comment ref="C564" authorId="2" shapeId="0" xr:uid="{00000000-0006-0000-0100-000063020000}">
      <text>
        <r>
          <rPr>
            <sz val="11"/>
            <color theme="1"/>
            <rFont val="Calibri"/>
            <family val="2"/>
            <scheme val="minor"/>
          </rPr>
          <t>Seleccione un valor de la lista</t>
        </r>
      </text>
    </comment>
    <comment ref="D564" authorId="2" shapeId="0" xr:uid="{00000000-0006-0000-0100-000064020000}">
      <text>
        <r>
          <rPr>
            <sz val="11"/>
            <color theme="1"/>
            <rFont val="Calibri"/>
            <family val="2"/>
            <scheme val="minor"/>
          </rPr>
          <t>Introduzca un número con dos decimales como máximo. Debe ser igual o mayor a la "Cantidad Real Consumida"</t>
        </r>
      </text>
    </comment>
    <comment ref="E564" authorId="2" shapeId="0" xr:uid="{00000000-0006-0000-0100-000065020000}">
      <text>
        <r>
          <rPr>
            <sz val="11"/>
            <color theme="1"/>
            <rFont val="Calibri"/>
            <family val="2"/>
            <scheme val="minor"/>
          </rPr>
          <t>Introduzca un número con dos decimales como máximo</t>
        </r>
      </text>
    </comment>
    <comment ref="F564" authorId="2" shapeId="0" xr:uid="{00000000-0006-0000-0100-000066020000}">
      <text>
        <r>
          <rPr>
            <sz val="11"/>
            <color theme="1"/>
            <rFont val="Calibri"/>
            <family val="2"/>
            <scheme val="minor"/>
          </rPr>
          <t>Monto calculado automáticamente por el sistema</t>
        </r>
      </text>
    </comment>
    <comment ref="A607" authorId="2" shapeId="0" xr:uid="{00000000-0006-0000-0100-000067020000}">
      <text>
        <r>
          <rPr>
            <sz val="11"/>
            <color theme="1"/>
            <rFont val="Calibri"/>
            <family val="2"/>
            <scheme val="minor"/>
          </rPr>
          <t>Introducir un texto con el nombre o referencia de la contratación</t>
        </r>
      </text>
    </comment>
    <comment ref="B607" authorId="2" shapeId="0" xr:uid="{00000000-0006-0000-0100-000068020000}">
      <text>
        <r>
          <rPr>
            <sz val="11"/>
            <color theme="1"/>
            <rFont val="Calibri"/>
            <family val="2"/>
            <scheme val="minor"/>
          </rPr>
          <t>Introduzca un texto con la finalidad de la contratación</t>
        </r>
      </text>
    </comment>
    <comment ref="C607" authorId="2" shapeId="0" xr:uid="{00000000-0006-0000-0100-000069020000}">
      <text>
        <r>
          <rPr>
            <sz val="11"/>
            <color theme="1"/>
            <rFont val="Calibri"/>
            <family val="2"/>
            <scheme val="minor"/>
          </rPr>
          <t>Seleccionar un valor del listado</t>
        </r>
      </text>
    </comment>
    <comment ref="D607" authorId="2" shapeId="0" xr:uid="{00000000-0006-0000-0100-00006A020000}">
      <text>
        <r>
          <rPr>
            <sz val="11"/>
            <color theme="1"/>
            <rFont val="Calibri"/>
            <family val="2"/>
            <scheme val="minor"/>
          </rPr>
          <t>Seleccione el tipo de procedimiento</t>
        </r>
      </text>
    </comment>
    <comment ref="E607" authorId="2" shapeId="0" xr:uid="{00000000-0006-0000-0100-00006B020000}">
      <text>
        <r>
          <rPr>
            <sz val="11"/>
            <color theme="1"/>
            <rFont val="Calibri"/>
            <family val="2"/>
            <scheme val="minor"/>
          </rPr>
          <t>Seleccione un valor de la lista</t>
        </r>
      </text>
    </comment>
    <comment ref="F607" authorId="2" shapeId="0" xr:uid="{00000000-0006-0000-0100-00006C020000}">
      <text>
        <r>
          <rPr>
            <sz val="11"/>
            <color theme="1"/>
            <rFont val="Calibri"/>
            <family val="2"/>
            <scheme val="minor"/>
          </rPr>
          <t>Introduzca el código SNIP</t>
        </r>
      </text>
    </comment>
    <comment ref="C608" authorId="2" shapeId="0" xr:uid="{00000000-0006-0000-0100-00006D020000}">
      <text>
        <r>
          <rPr>
            <sz val="11"/>
            <color theme="1"/>
            <rFont val="Calibri"/>
            <family val="2"/>
            <scheme val="minor"/>
          </rPr>
          <t>Introduzca la fecha de inicio del proceso, en formato dd-mm-aaaa</t>
        </r>
      </text>
    </comment>
    <comment ref="F608"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2" shapeId="0" xr:uid="{00000000-0006-0000-0100-00006F020000}">
      <text/>
    </comment>
    <comment ref="C610" authorId="2" shapeId="0" xr:uid="{00000000-0006-0000-0100-000070020000}">
      <text>
        <r>
          <rPr>
            <sz val="11"/>
            <color theme="1"/>
            <rFont val="Calibri"/>
            <family val="2"/>
            <scheme val="minor"/>
          </rPr>
          <t>Introduzca la fecha prevista de adjudicación, en formato dd-mm-aaaa</t>
        </r>
      </text>
    </comment>
    <comment ref="F610" authorId="2" shapeId="0" xr:uid="{00000000-0006-0000-0100-000071020000}">
      <text/>
    </comment>
    <comment ref="F611" authorId="2" shapeId="0" xr:uid="{00000000-0006-0000-0100-000072020000}">
      <text/>
    </comment>
    <comment ref="A613" authorId="2" shapeId="0" xr:uid="{00000000-0006-0000-0100-000073020000}">
      <text>
        <r>
          <rPr>
            <sz val="11"/>
            <color theme="1"/>
            <rFont val="Calibri"/>
            <family val="2"/>
            <scheme val="minor"/>
          </rPr>
          <t>Introduzca un codigo UNSPSC</t>
        </r>
      </text>
    </comment>
    <comment ref="B613" authorId="2" shapeId="0" xr:uid="{00000000-0006-0000-0100-000074020000}">
      <text>
        <r>
          <rPr>
            <sz val="11"/>
            <color theme="1"/>
            <rFont val="Calibri"/>
            <family val="2"/>
            <scheme val="minor"/>
          </rPr>
          <t>Descripción calculada automáticamente a partir de código del artículo</t>
        </r>
      </text>
    </comment>
    <comment ref="C613" authorId="2" shapeId="0" xr:uid="{00000000-0006-0000-0100-000075020000}">
      <text>
        <r>
          <rPr>
            <sz val="11"/>
            <color theme="1"/>
            <rFont val="Calibri"/>
            <family val="2"/>
            <scheme val="minor"/>
          </rPr>
          <t>Seleccione un valor de la lista</t>
        </r>
      </text>
    </comment>
    <comment ref="D613" authorId="2" shapeId="0" xr:uid="{00000000-0006-0000-0100-000076020000}">
      <text>
        <r>
          <rPr>
            <sz val="11"/>
            <color theme="1"/>
            <rFont val="Calibri"/>
            <family val="2"/>
            <scheme val="minor"/>
          </rPr>
          <t>Introduzca un número con dos decimales como máximo. Debe ser igual o mayor a la "Cantidad Real Consumida"</t>
        </r>
      </text>
    </comment>
    <comment ref="E613" authorId="2" shapeId="0" xr:uid="{00000000-0006-0000-0100-000077020000}">
      <text>
        <r>
          <rPr>
            <sz val="11"/>
            <color theme="1"/>
            <rFont val="Calibri"/>
            <family val="2"/>
            <scheme val="minor"/>
          </rPr>
          <t>Introduzca un número con dos decimales como máximo</t>
        </r>
      </text>
    </comment>
    <comment ref="F613" authorId="2" shapeId="0" xr:uid="{00000000-0006-0000-0100-000078020000}">
      <text>
        <r>
          <rPr>
            <sz val="11"/>
            <color theme="1"/>
            <rFont val="Calibri"/>
            <family val="2"/>
            <scheme val="minor"/>
          </rPr>
          <t>Monto calculado automáticamente por el sistema</t>
        </r>
      </text>
    </comment>
    <comment ref="A656" authorId="2" shapeId="0" xr:uid="{00000000-0006-0000-0100-000079020000}">
      <text>
        <r>
          <rPr>
            <sz val="11"/>
            <color theme="1"/>
            <rFont val="Calibri"/>
            <family val="2"/>
            <scheme val="minor"/>
          </rPr>
          <t>Introducir un texto con el nombre o referencia de la contratación</t>
        </r>
      </text>
    </comment>
    <comment ref="B656" authorId="2" shapeId="0" xr:uid="{00000000-0006-0000-0100-00007A020000}">
      <text>
        <r>
          <rPr>
            <sz val="11"/>
            <color theme="1"/>
            <rFont val="Calibri"/>
            <family val="2"/>
            <scheme val="minor"/>
          </rPr>
          <t>Introduzca un texto con la finalidad de la contratación</t>
        </r>
      </text>
    </comment>
    <comment ref="C656" authorId="2" shapeId="0" xr:uid="{00000000-0006-0000-0100-00007B020000}">
      <text>
        <r>
          <rPr>
            <sz val="11"/>
            <color theme="1"/>
            <rFont val="Calibri"/>
            <family val="2"/>
            <scheme val="minor"/>
          </rPr>
          <t>Seleccionar un valor del listado</t>
        </r>
      </text>
    </comment>
    <comment ref="D656" authorId="2" shapeId="0" xr:uid="{00000000-0006-0000-0100-00007C020000}">
      <text>
        <r>
          <rPr>
            <sz val="11"/>
            <color theme="1"/>
            <rFont val="Calibri"/>
            <family val="2"/>
            <scheme val="minor"/>
          </rPr>
          <t>Seleccione el tipo de procedimiento</t>
        </r>
      </text>
    </comment>
    <comment ref="E656" authorId="2" shapeId="0" xr:uid="{00000000-0006-0000-0100-00007D020000}">
      <text>
        <r>
          <rPr>
            <sz val="11"/>
            <color theme="1"/>
            <rFont val="Calibri"/>
            <family val="2"/>
            <scheme val="minor"/>
          </rPr>
          <t>Seleccione un valor de la lista</t>
        </r>
      </text>
    </comment>
    <comment ref="F656" authorId="2" shapeId="0" xr:uid="{00000000-0006-0000-0100-00007E020000}">
      <text>
        <r>
          <rPr>
            <sz val="11"/>
            <color theme="1"/>
            <rFont val="Calibri"/>
            <family val="2"/>
            <scheme val="minor"/>
          </rPr>
          <t>Introduzca el código SNIP</t>
        </r>
      </text>
    </comment>
    <comment ref="C657" authorId="2" shapeId="0" xr:uid="{00000000-0006-0000-0100-00007F020000}">
      <text>
        <r>
          <rPr>
            <sz val="11"/>
            <color theme="1"/>
            <rFont val="Calibri"/>
            <family val="2"/>
            <scheme val="minor"/>
          </rPr>
          <t>Introduzca la fecha de inicio del proceso, en formato dd-mm-aaaa</t>
        </r>
      </text>
    </comment>
    <comment ref="F657"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2" shapeId="0" xr:uid="{00000000-0006-0000-0100-000081020000}">
      <text/>
    </comment>
    <comment ref="C659" authorId="2" shapeId="0" xr:uid="{00000000-0006-0000-0100-000082020000}">
      <text>
        <r>
          <rPr>
            <sz val="11"/>
            <color theme="1"/>
            <rFont val="Calibri"/>
            <family val="2"/>
            <scheme val="minor"/>
          </rPr>
          <t>Introduzca la fecha prevista de adjudicación, en formato dd-mm-aaaa</t>
        </r>
      </text>
    </comment>
    <comment ref="F659" authorId="2" shapeId="0" xr:uid="{00000000-0006-0000-0100-000083020000}">
      <text/>
    </comment>
    <comment ref="F660" authorId="2" shapeId="0" xr:uid="{00000000-0006-0000-0100-000084020000}">
      <text/>
    </comment>
    <comment ref="A662" authorId="2" shapeId="0" xr:uid="{00000000-0006-0000-0100-000085020000}">
      <text>
        <r>
          <rPr>
            <sz val="11"/>
            <color theme="1"/>
            <rFont val="Calibri"/>
            <family val="2"/>
            <scheme val="minor"/>
          </rPr>
          <t>Introduzca un codigo UNSPSC</t>
        </r>
      </text>
    </comment>
    <comment ref="B662" authorId="2" shapeId="0" xr:uid="{00000000-0006-0000-0100-000086020000}">
      <text>
        <r>
          <rPr>
            <sz val="11"/>
            <color theme="1"/>
            <rFont val="Calibri"/>
            <family val="2"/>
            <scheme val="minor"/>
          </rPr>
          <t>Descripción calculada automáticamente a partir de código del artículo</t>
        </r>
      </text>
    </comment>
    <comment ref="C662" authorId="2" shapeId="0" xr:uid="{00000000-0006-0000-0100-000087020000}">
      <text>
        <r>
          <rPr>
            <sz val="11"/>
            <color theme="1"/>
            <rFont val="Calibri"/>
            <family val="2"/>
            <scheme val="minor"/>
          </rPr>
          <t>Seleccione un valor de la lista</t>
        </r>
      </text>
    </comment>
    <comment ref="D662" authorId="2" shapeId="0" xr:uid="{00000000-0006-0000-0100-000088020000}">
      <text>
        <r>
          <rPr>
            <sz val="11"/>
            <color theme="1"/>
            <rFont val="Calibri"/>
            <family val="2"/>
            <scheme val="minor"/>
          </rPr>
          <t>Introduzca un número con dos decimales como máximo. Debe ser igual o mayor a la "Cantidad Real Consumida"</t>
        </r>
      </text>
    </comment>
    <comment ref="E662" authorId="2" shapeId="0" xr:uid="{00000000-0006-0000-0100-000089020000}">
      <text>
        <r>
          <rPr>
            <sz val="11"/>
            <color theme="1"/>
            <rFont val="Calibri"/>
            <family val="2"/>
            <scheme val="minor"/>
          </rPr>
          <t>Introduzca un número con dos decimales como máximo</t>
        </r>
      </text>
    </comment>
    <comment ref="F662" authorId="2" shapeId="0" xr:uid="{00000000-0006-0000-0100-00008A020000}">
      <text>
        <r>
          <rPr>
            <sz val="11"/>
            <color theme="1"/>
            <rFont val="Calibri"/>
            <family val="2"/>
            <scheme val="minor"/>
          </rPr>
          <t>Monto calculado automáticamente por el sistema</t>
        </r>
      </text>
    </comment>
    <comment ref="A704" authorId="2" shapeId="0" xr:uid="{00000000-0006-0000-0100-00008B020000}">
      <text>
        <r>
          <rPr>
            <sz val="11"/>
            <color theme="1"/>
            <rFont val="Calibri"/>
            <family val="2"/>
            <scheme val="minor"/>
          </rPr>
          <t>Introducir un texto con el nombre o referencia de la contratación</t>
        </r>
      </text>
    </comment>
    <comment ref="B704" authorId="2" shapeId="0" xr:uid="{00000000-0006-0000-0100-00008C020000}">
      <text>
        <r>
          <rPr>
            <sz val="11"/>
            <color theme="1"/>
            <rFont val="Calibri"/>
            <family val="2"/>
            <scheme val="minor"/>
          </rPr>
          <t>Introduzca un texto con la finalidad de la contratación</t>
        </r>
      </text>
    </comment>
    <comment ref="C704" authorId="2" shapeId="0" xr:uid="{00000000-0006-0000-0100-00008D020000}">
      <text>
        <r>
          <rPr>
            <sz val="11"/>
            <color theme="1"/>
            <rFont val="Calibri"/>
            <family val="2"/>
            <scheme val="minor"/>
          </rPr>
          <t>Seleccionar un valor del listado</t>
        </r>
      </text>
    </comment>
    <comment ref="D704" authorId="2" shapeId="0" xr:uid="{00000000-0006-0000-0100-00008E020000}">
      <text>
        <r>
          <rPr>
            <sz val="11"/>
            <color theme="1"/>
            <rFont val="Calibri"/>
            <family val="2"/>
            <scheme val="minor"/>
          </rPr>
          <t>Seleccione el tipo de procedimiento</t>
        </r>
      </text>
    </comment>
    <comment ref="E704" authorId="2" shapeId="0" xr:uid="{00000000-0006-0000-0100-00008F020000}">
      <text>
        <r>
          <rPr>
            <sz val="11"/>
            <color theme="1"/>
            <rFont val="Calibri"/>
            <family val="2"/>
            <scheme val="minor"/>
          </rPr>
          <t>Seleccione un valor de la lista</t>
        </r>
      </text>
    </comment>
    <comment ref="F704" authorId="2" shapeId="0" xr:uid="{00000000-0006-0000-0100-000090020000}">
      <text>
        <r>
          <rPr>
            <sz val="11"/>
            <color theme="1"/>
            <rFont val="Calibri"/>
            <family val="2"/>
            <scheme val="minor"/>
          </rPr>
          <t>Introduzca el código SNIP</t>
        </r>
      </text>
    </comment>
    <comment ref="C705" authorId="2" shapeId="0" xr:uid="{00000000-0006-0000-0100-000091020000}">
      <text>
        <r>
          <rPr>
            <sz val="11"/>
            <color theme="1"/>
            <rFont val="Calibri"/>
            <family val="2"/>
            <scheme val="minor"/>
          </rPr>
          <t>Introduzca la fecha de inicio del proceso, en formato dd-mm-aaaa</t>
        </r>
      </text>
    </comment>
    <comment ref="F705"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xr:uid="{00000000-0006-0000-0100-000093020000}">
      <text/>
    </comment>
    <comment ref="C707" authorId="2" shapeId="0" xr:uid="{00000000-0006-0000-0100-000094020000}">
      <text>
        <r>
          <rPr>
            <sz val="11"/>
            <color theme="1"/>
            <rFont val="Calibri"/>
            <family val="2"/>
            <scheme val="minor"/>
          </rPr>
          <t>Introduzca la fecha prevista de adjudicación, en formato dd-mm-aaaa</t>
        </r>
      </text>
    </comment>
    <comment ref="F707" authorId="2" shapeId="0" xr:uid="{00000000-0006-0000-0100-000095020000}">
      <text/>
    </comment>
    <comment ref="F708" authorId="2" shapeId="0" xr:uid="{00000000-0006-0000-0100-000096020000}">
      <text/>
    </comment>
    <comment ref="A710" authorId="2" shapeId="0" xr:uid="{00000000-0006-0000-0100-000097020000}">
      <text>
        <r>
          <rPr>
            <sz val="11"/>
            <color theme="1"/>
            <rFont val="Calibri"/>
            <family val="2"/>
            <scheme val="minor"/>
          </rPr>
          <t>Introduzca un codigo UNSPSC</t>
        </r>
      </text>
    </comment>
    <comment ref="B710" authorId="2" shapeId="0" xr:uid="{00000000-0006-0000-0100-000098020000}">
      <text>
        <r>
          <rPr>
            <sz val="11"/>
            <color theme="1"/>
            <rFont val="Calibri"/>
            <family val="2"/>
            <scheme val="minor"/>
          </rPr>
          <t>Descripción calculada automáticamente a partir de código del artículo</t>
        </r>
      </text>
    </comment>
    <comment ref="C710" authorId="2" shapeId="0" xr:uid="{00000000-0006-0000-0100-000099020000}">
      <text>
        <r>
          <rPr>
            <sz val="11"/>
            <color theme="1"/>
            <rFont val="Calibri"/>
            <family val="2"/>
            <scheme val="minor"/>
          </rPr>
          <t>Seleccione un valor de la lista</t>
        </r>
      </text>
    </comment>
    <comment ref="D710" authorId="2" shapeId="0" xr:uid="{00000000-0006-0000-0100-00009A020000}">
      <text>
        <r>
          <rPr>
            <sz val="11"/>
            <color theme="1"/>
            <rFont val="Calibri"/>
            <family val="2"/>
            <scheme val="minor"/>
          </rPr>
          <t>Introduzca un número con dos decimales como máximo. Debe ser igual o mayor a la "Cantidad Real Consumida"</t>
        </r>
      </text>
    </comment>
    <comment ref="E710" authorId="2" shapeId="0" xr:uid="{00000000-0006-0000-0100-00009B020000}">
      <text>
        <r>
          <rPr>
            <sz val="11"/>
            <color theme="1"/>
            <rFont val="Calibri"/>
            <family val="2"/>
            <scheme val="minor"/>
          </rPr>
          <t>Introduzca un número con dos decimales como máximo</t>
        </r>
      </text>
    </comment>
    <comment ref="F710" authorId="2" shapeId="0" xr:uid="{00000000-0006-0000-0100-00009C020000}">
      <text>
        <r>
          <rPr>
            <sz val="11"/>
            <color theme="1"/>
            <rFont val="Calibri"/>
            <family val="2"/>
            <scheme val="minor"/>
          </rPr>
          <t>Monto calculado automáticamente por el sistema</t>
        </r>
      </text>
    </comment>
    <comment ref="A721" authorId="2" shapeId="0" xr:uid="{00000000-0006-0000-0100-00009D020000}">
      <text>
        <r>
          <rPr>
            <sz val="11"/>
            <color theme="1"/>
            <rFont val="Calibri"/>
            <family val="2"/>
            <scheme val="minor"/>
          </rPr>
          <t>Introducir un texto con el nombre o referencia de la contratación</t>
        </r>
      </text>
    </comment>
    <comment ref="B721" authorId="2" shapeId="0" xr:uid="{00000000-0006-0000-0100-00009E020000}">
      <text>
        <r>
          <rPr>
            <sz val="11"/>
            <color theme="1"/>
            <rFont val="Calibri"/>
            <family val="2"/>
            <scheme val="minor"/>
          </rPr>
          <t>Introduzca un texto con la finalidad de la contratación</t>
        </r>
      </text>
    </comment>
    <comment ref="C721" authorId="2" shapeId="0" xr:uid="{00000000-0006-0000-0100-00009F020000}">
      <text>
        <r>
          <rPr>
            <sz val="11"/>
            <color theme="1"/>
            <rFont val="Calibri"/>
            <family val="2"/>
            <scheme val="minor"/>
          </rPr>
          <t>Seleccionar un valor del listado</t>
        </r>
      </text>
    </comment>
    <comment ref="D721" authorId="2" shapeId="0" xr:uid="{00000000-0006-0000-0100-0000A0020000}">
      <text>
        <r>
          <rPr>
            <sz val="11"/>
            <color theme="1"/>
            <rFont val="Calibri"/>
            <family val="2"/>
            <scheme val="minor"/>
          </rPr>
          <t>Seleccione el tipo de procedimiento</t>
        </r>
      </text>
    </comment>
    <comment ref="E721" authorId="2" shapeId="0" xr:uid="{00000000-0006-0000-0100-0000A1020000}">
      <text>
        <r>
          <rPr>
            <sz val="11"/>
            <color theme="1"/>
            <rFont val="Calibri"/>
            <family val="2"/>
            <scheme val="minor"/>
          </rPr>
          <t>Seleccione un valor de la lista</t>
        </r>
      </text>
    </comment>
    <comment ref="F721" authorId="2" shapeId="0" xr:uid="{00000000-0006-0000-0100-0000A2020000}">
      <text>
        <r>
          <rPr>
            <sz val="11"/>
            <color theme="1"/>
            <rFont val="Calibri"/>
            <family val="2"/>
            <scheme val="minor"/>
          </rPr>
          <t>Introduzca el código SNIP</t>
        </r>
      </text>
    </comment>
    <comment ref="C722" authorId="2" shapeId="0" xr:uid="{00000000-0006-0000-0100-0000A3020000}">
      <text>
        <r>
          <rPr>
            <sz val="11"/>
            <color theme="1"/>
            <rFont val="Calibri"/>
            <family val="2"/>
            <scheme val="minor"/>
          </rPr>
          <t>Introduzca la fecha de inicio del proceso, en formato dd-mm-aaaa</t>
        </r>
      </text>
    </comment>
    <comment ref="F722"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xr:uid="{00000000-0006-0000-0100-0000A5020000}">
      <text/>
    </comment>
    <comment ref="C724" authorId="2" shapeId="0" xr:uid="{00000000-0006-0000-0100-0000A6020000}">
      <text>
        <r>
          <rPr>
            <sz val="11"/>
            <color theme="1"/>
            <rFont val="Calibri"/>
            <family val="2"/>
            <scheme val="minor"/>
          </rPr>
          <t>Introduzca la fecha prevista de adjudicación, en formato dd-mm-aaaa</t>
        </r>
      </text>
    </comment>
    <comment ref="F724" authorId="2" shapeId="0" xr:uid="{00000000-0006-0000-0100-0000A7020000}">
      <text/>
    </comment>
    <comment ref="F725" authorId="2" shapeId="0" xr:uid="{00000000-0006-0000-0100-0000A8020000}">
      <text/>
    </comment>
    <comment ref="A727" authorId="2" shapeId="0" xr:uid="{00000000-0006-0000-0100-0000A9020000}">
      <text>
        <r>
          <rPr>
            <sz val="11"/>
            <color theme="1"/>
            <rFont val="Calibri"/>
            <family val="2"/>
            <scheme val="minor"/>
          </rPr>
          <t>Introduzca un codigo UNSPSC</t>
        </r>
      </text>
    </comment>
    <comment ref="B727" authorId="2" shapeId="0" xr:uid="{00000000-0006-0000-0100-0000AA020000}">
      <text>
        <r>
          <rPr>
            <sz val="11"/>
            <color theme="1"/>
            <rFont val="Calibri"/>
            <family val="2"/>
            <scheme val="minor"/>
          </rPr>
          <t>Descripción calculada automáticamente a partir de código del artículo</t>
        </r>
      </text>
    </comment>
    <comment ref="C727" authorId="2" shapeId="0" xr:uid="{00000000-0006-0000-0100-0000AB020000}">
      <text>
        <r>
          <rPr>
            <sz val="11"/>
            <color theme="1"/>
            <rFont val="Calibri"/>
            <family val="2"/>
            <scheme val="minor"/>
          </rPr>
          <t>Seleccione un valor de la lista</t>
        </r>
      </text>
    </comment>
    <comment ref="D727" authorId="2" shapeId="0" xr:uid="{00000000-0006-0000-0100-0000AC020000}">
      <text>
        <r>
          <rPr>
            <sz val="11"/>
            <color theme="1"/>
            <rFont val="Calibri"/>
            <family val="2"/>
            <scheme val="minor"/>
          </rPr>
          <t>Introduzca un número con dos decimales como máximo. Debe ser igual o mayor a la "Cantidad Real Consumida"</t>
        </r>
      </text>
    </comment>
    <comment ref="E727" authorId="2" shapeId="0" xr:uid="{00000000-0006-0000-0100-0000AD020000}">
      <text>
        <r>
          <rPr>
            <sz val="11"/>
            <color theme="1"/>
            <rFont val="Calibri"/>
            <family val="2"/>
            <scheme val="minor"/>
          </rPr>
          <t>Introduzca un número con dos decimales como máximo</t>
        </r>
      </text>
    </comment>
    <comment ref="F727" authorId="2" shapeId="0" xr:uid="{00000000-0006-0000-0100-0000AE020000}">
      <text>
        <r>
          <rPr>
            <sz val="11"/>
            <color theme="1"/>
            <rFont val="Calibri"/>
            <family val="2"/>
            <scheme val="minor"/>
          </rPr>
          <t>Monto calculado automáticamente por el sistema</t>
        </r>
      </text>
    </comment>
    <comment ref="A737" authorId="2" shapeId="0" xr:uid="{00000000-0006-0000-0100-0000AF020000}">
      <text>
        <r>
          <rPr>
            <sz val="11"/>
            <color theme="1"/>
            <rFont val="Calibri"/>
            <family val="2"/>
            <scheme val="minor"/>
          </rPr>
          <t>Introducir un texto con el nombre o referencia de la contratación</t>
        </r>
      </text>
    </comment>
    <comment ref="B737" authorId="2" shapeId="0" xr:uid="{00000000-0006-0000-0100-0000B0020000}">
      <text>
        <r>
          <rPr>
            <sz val="11"/>
            <color theme="1"/>
            <rFont val="Calibri"/>
            <family val="2"/>
            <scheme val="minor"/>
          </rPr>
          <t>Introduzca un texto con la finalidad de la contratación</t>
        </r>
      </text>
    </comment>
    <comment ref="C737" authorId="2" shapeId="0" xr:uid="{00000000-0006-0000-0100-0000B1020000}">
      <text>
        <r>
          <rPr>
            <sz val="11"/>
            <color theme="1"/>
            <rFont val="Calibri"/>
            <family val="2"/>
            <scheme val="minor"/>
          </rPr>
          <t>Seleccionar un valor del listado</t>
        </r>
      </text>
    </comment>
    <comment ref="D737" authorId="2" shapeId="0" xr:uid="{00000000-0006-0000-0100-0000B2020000}">
      <text>
        <r>
          <rPr>
            <sz val="11"/>
            <color theme="1"/>
            <rFont val="Calibri"/>
            <family val="2"/>
            <scheme val="minor"/>
          </rPr>
          <t>Seleccione el tipo de procedimiento</t>
        </r>
      </text>
    </comment>
    <comment ref="E737" authorId="2" shapeId="0" xr:uid="{00000000-0006-0000-0100-0000B3020000}">
      <text>
        <r>
          <rPr>
            <sz val="11"/>
            <color theme="1"/>
            <rFont val="Calibri"/>
            <family val="2"/>
            <scheme val="minor"/>
          </rPr>
          <t>Seleccione un valor de la lista</t>
        </r>
      </text>
    </comment>
    <comment ref="F737" authorId="2" shapeId="0" xr:uid="{00000000-0006-0000-0100-0000B4020000}">
      <text>
        <r>
          <rPr>
            <sz val="11"/>
            <color theme="1"/>
            <rFont val="Calibri"/>
            <family val="2"/>
            <scheme val="minor"/>
          </rPr>
          <t>Introduzca el código SNIP</t>
        </r>
      </text>
    </comment>
    <comment ref="C738" authorId="2" shapeId="0" xr:uid="{00000000-0006-0000-0100-0000B5020000}">
      <text>
        <r>
          <rPr>
            <sz val="11"/>
            <color theme="1"/>
            <rFont val="Calibri"/>
            <family val="2"/>
            <scheme val="minor"/>
          </rPr>
          <t>Introduzca la fecha de inicio del proceso, en formato dd-mm-aaaa</t>
        </r>
      </text>
    </comment>
    <comment ref="F738"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2" shapeId="0" xr:uid="{00000000-0006-0000-0100-0000B7020000}">
      <text/>
    </comment>
    <comment ref="C740" authorId="2" shapeId="0" xr:uid="{00000000-0006-0000-0100-0000B8020000}">
      <text>
        <r>
          <rPr>
            <sz val="11"/>
            <color theme="1"/>
            <rFont val="Calibri"/>
            <family val="2"/>
            <scheme val="minor"/>
          </rPr>
          <t>Introduzca la fecha prevista de adjudicación, en formato dd-mm-aaaa</t>
        </r>
      </text>
    </comment>
    <comment ref="F740" authorId="2" shapeId="0" xr:uid="{00000000-0006-0000-0100-0000B9020000}">
      <text/>
    </comment>
    <comment ref="F741" authorId="2" shapeId="0" xr:uid="{00000000-0006-0000-0100-0000BA020000}">
      <text/>
    </comment>
    <comment ref="A743" authorId="2" shapeId="0" xr:uid="{00000000-0006-0000-0100-0000BB020000}">
      <text>
        <r>
          <rPr>
            <sz val="11"/>
            <color theme="1"/>
            <rFont val="Calibri"/>
            <family val="2"/>
            <scheme val="minor"/>
          </rPr>
          <t>Introduzca un codigo UNSPSC</t>
        </r>
      </text>
    </comment>
    <comment ref="B743" authorId="2" shapeId="0" xr:uid="{00000000-0006-0000-0100-0000BC020000}">
      <text>
        <r>
          <rPr>
            <sz val="11"/>
            <color theme="1"/>
            <rFont val="Calibri"/>
            <family val="2"/>
            <scheme val="minor"/>
          </rPr>
          <t>Descripción calculada automáticamente a partir de código del artículo</t>
        </r>
      </text>
    </comment>
    <comment ref="C743" authorId="2" shapeId="0" xr:uid="{00000000-0006-0000-0100-0000BD020000}">
      <text>
        <r>
          <rPr>
            <sz val="11"/>
            <color theme="1"/>
            <rFont val="Calibri"/>
            <family val="2"/>
            <scheme val="minor"/>
          </rPr>
          <t>Seleccione un valor de la lista</t>
        </r>
      </text>
    </comment>
    <comment ref="D743" authorId="2" shapeId="0" xr:uid="{00000000-0006-0000-0100-0000BE020000}">
      <text>
        <r>
          <rPr>
            <sz val="11"/>
            <color theme="1"/>
            <rFont val="Calibri"/>
            <family val="2"/>
            <scheme val="minor"/>
          </rPr>
          <t>Introduzca un número con dos decimales como máximo. Debe ser igual o mayor a la "Cantidad Real Consumida"</t>
        </r>
      </text>
    </comment>
    <comment ref="E743" authorId="2" shapeId="0" xr:uid="{00000000-0006-0000-0100-0000BF020000}">
      <text>
        <r>
          <rPr>
            <sz val="11"/>
            <color theme="1"/>
            <rFont val="Calibri"/>
            <family val="2"/>
            <scheme val="minor"/>
          </rPr>
          <t>Introduzca un número con dos decimales como máximo</t>
        </r>
      </text>
    </comment>
    <comment ref="F743" authorId="2" shapeId="0" xr:uid="{00000000-0006-0000-0100-0000C0020000}">
      <text>
        <r>
          <rPr>
            <sz val="11"/>
            <color theme="1"/>
            <rFont val="Calibri"/>
            <family val="2"/>
            <scheme val="minor"/>
          </rPr>
          <t>Monto calculado automáticamente por el sistema</t>
        </r>
      </text>
    </comment>
    <comment ref="A753" authorId="2" shapeId="0" xr:uid="{00000000-0006-0000-0100-0000C1020000}">
      <text>
        <r>
          <rPr>
            <sz val="11"/>
            <color theme="1"/>
            <rFont val="Calibri"/>
            <family val="2"/>
            <scheme val="minor"/>
          </rPr>
          <t>Introducir un texto con el nombre o referencia de la contratación</t>
        </r>
      </text>
    </comment>
    <comment ref="B753" authorId="2" shapeId="0" xr:uid="{00000000-0006-0000-0100-0000C2020000}">
      <text>
        <r>
          <rPr>
            <sz val="11"/>
            <color theme="1"/>
            <rFont val="Calibri"/>
            <family val="2"/>
            <scheme val="minor"/>
          </rPr>
          <t>Introduzca un texto con la finalidad de la contratación</t>
        </r>
      </text>
    </comment>
    <comment ref="C753" authorId="2" shapeId="0" xr:uid="{00000000-0006-0000-0100-0000C3020000}">
      <text>
        <r>
          <rPr>
            <sz val="11"/>
            <color theme="1"/>
            <rFont val="Calibri"/>
            <family val="2"/>
            <scheme val="minor"/>
          </rPr>
          <t>Seleccionar un valor del listado</t>
        </r>
      </text>
    </comment>
    <comment ref="D753" authorId="2" shapeId="0" xr:uid="{00000000-0006-0000-0100-0000C4020000}">
      <text>
        <r>
          <rPr>
            <sz val="11"/>
            <color theme="1"/>
            <rFont val="Calibri"/>
            <family val="2"/>
            <scheme val="minor"/>
          </rPr>
          <t>Seleccione el tipo de procedimiento</t>
        </r>
      </text>
    </comment>
    <comment ref="E753" authorId="2" shapeId="0" xr:uid="{00000000-0006-0000-0100-0000C5020000}">
      <text>
        <r>
          <rPr>
            <sz val="11"/>
            <color theme="1"/>
            <rFont val="Calibri"/>
            <family val="2"/>
            <scheme val="minor"/>
          </rPr>
          <t>Seleccione un valor de la lista</t>
        </r>
      </text>
    </comment>
    <comment ref="F753" authorId="2" shapeId="0" xr:uid="{00000000-0006-0000-0100-0000C6020000}">
      <text>
        <r>
          <rPr>
            <sz val="11"/>
            <color theme="1"/>
            <rFont val="Calibri"/>
            <family val="2"/>
            <scheme val="minor"/>
          </rPr>
          <t>Introduzca el código SNIP</t>
        </r>
      </text>
    </comment>
    <comment ref="C754" authorId="2" shapeId="0" xr:uid="{00000000-0006-0000-0100-0000C7020000}">
      <text>
        <r>
          <rPr>
            <sz val="11"/>
            <color theme="1"/>
            <rFont val="Calibri"/>
            <family val="2"/>
            <scheme val="minor"/>
          </rPr>
          <t>Introduzca la fecha de inicio del proceso, en formato dd-mm-aaaa</t>
        </r>
      </text>
    </comment>
    <comment ref="F754"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00000000-0006-0000-0100-0000C9020000}">
      <text/>
    </comment>
    <comment ref="C756" authorId="2" shapeId="0" xr:uid="{00000000-0006-0000-0100-0000CA020000}">
      <text>
        <r>
          <rPr>
            <sz val="11"/>
            <color theme="1"/>
            <rFont val="Calibri"/>
            <family val="2"/>
            <scheme val="minor"/>
          </rPr>
          <t>Introduzca la fecha prevista de adjudicación, en formato dd-mm-aaaa</t>
        </r>
      </text>
    </comment>
    <comment ref="F756" authorId="2" shapeId="0" xr:uid="{00000000-0006-0000-0100-0000CB020000}">
      <text/>
    </comment>
    <comment ref="F757" authorId="2" shapeId="0" xr:uid="{00000000-0006-0000-0100-0000CC020000}">
      <text/>
    </comment>
    <comment ref="A759" authorId="2" shapeId="0" xr:uid="{00000000-0006-0000-0100-0000CD020000}">
      <text>
        <r>
          <rPr>
            <sz val="11"/>
            <color theme="1"/>
            <rFont val="Calibri"/>
            <family val="2"/>
            <scheme val="minor"/>
          </rPr>
          <t>Introduzca un codigo UNSPSC</t>
        </r>
      </text>
    </comment>
    <comment ref="B759" authorId="2" shapeId="0" xr:uid="{00000000-0006-0000-0100-0000CE020000}">
      <text>
        <r>
          <rPr>
            <sz val="11"/>
            <color theme="1"/>
            <rFont val="Calibri"/>
            <family val="2"/>
            <scheme val="minor"/>
          </rPr>
          <t>Descripción calculada automáticamente a partir de código del artículo</t>
        </r>
      </text>
    </comment>
    <comment ref="C759" authorId="2" shapeId="0" xr:uid="{00000000-0006-0000-0100-0000CF020000}">
      <text>
        <r>
          <rPr>
            <sz val="11"/>
            <color theme="1"/>
            <rFont val="Calibri"/>
            <family val="2"/>
            <scheme val="minor"/>
          </rPr>
          <t>Seleccione un valor de la lista</t>
        </r>
      </text>
    </comment>
    <comment ref="D759" authorId="2" shapeId="0" xr:uid="{00000000-0006-0000-0100-0000D0020000}">
      <text>
        <r>
          <rPr>
            <sz val="11"/>
            <color theme="1"/>
            <rFont val="Calibri"/>
            <family val="2"/>
            <scheme val="minor"/>
          </rPr>
          <t>Introduzca un número con dos decimales como máximo. Debe ser igual o mayor a la "Cantidad Real Consumida"</t>
        </r>
      </text>
    </comment>
    <comment ref="E759" authorId="2" shapeId="0" xr:uid="{00000000-0006-0000-0100-0000D1020000}">
      <text>
        <r>
          <rPr>
            <sz val="11"/>
            <color theme="1"/>
            <rFont val="Calibri"/>
            <family val="2"/>
            <scheme val="minor"/>
          </rPr>
          <t>Introduzca un número con dos decimales como máximo</t>
        </r>
      </text>
    </comment>
    <comment ref="F759" authorId="2" shapeId="0" xr:uid="{00000000-0006-0000-0100-0000D2020000}">
      <text>
        <r>
          <rPr>
            <sz val="11"/>
            <color theme="1"/>
            <rFont val="Calibri"/>
            <family val="2"/>
            <scheme val="minor"/>
          </rPr>
          <t>Monto calculado automáticamente por el sistema</t>
        </r>
      </text>
    </comment>
    <comment ref="A769" authorId="2" shapeId="0" xr:uid="{00000000-0006-0000-0100-0000D3020000}">
      <text>
        <r>
          <rPr>
            <sz val="11"/>
            <color theme="1"/>
            <rFont val="Calibri"/>
            <family val="2"/>
            <scheme val="minor"/>
          </rPr>
          <t>Introducir un texto con el nombre o referencia de la contratación</t>
        </r>
      </text>
    </comment>
    <comment ref="B769" authorId="2" shapeId="0" xr:uid="{00000000-0006-0000-0100-0000D4020000}">
      <text>
        <r>
          <rPr>
            <sz val="11"/>
            <color theme="1"/>
            <rFont val="Calibri"/>
            <family val="2"/>
            <scheme val="minor"/>
          </rPr>
          <t>Introduzca un texto con la finalidad de la contratación</t>
        </r>
      </text>
    </comment>
    <comment ref="C769" authorId="2" shapeId="0" xr:uid="{00000000-0006-0000-0100-0000D5020000}">
      <text>
        <r>
          <rPr>
            <sz val="11"/>
            <color theme="1"/>
            <rFont val="Calibri"/>
            <family val="2"/>
            <scheme val="minor"/>
          </rPr>
          <t>Seleccionar un valor del listado</t>
        </r>
      </text>
    </comment>
    <comment ref="D769" authorId="2" shapeId="0" xr:uid="{00000000-0006-0000-0100-0000D6020000}">
      <text>
        <r>
          <rPr>
            <sz val="11"/>
            <color theme="1"/>
            <rFont val="Calibri"/>
            <family val="2"/>
            <scheme val="minor"/>
          </rPr>
          <t>Seleccione el tipo de procedimiento</t>
        </r>
      </text>
    </comment>
    <comment ref="E769" authorId="2" shapeId="0" xr:uid="{00000000-0006-0000-0100-0000D7020000}">
      <text>
        <r>
          <rPr>
            <sz val="11"/>
            <color theme="1"/>
            <rFont val="Calibri"/>
            <family val="2"/>
            <scheme val="minor"/>
          </rPr>
          <t>Seleccione un valor de la lista</t>
        </r>
      </text>
    </comment>
    <comment ref="F769" authorId="2" shapeId="0" xr:uid="{00000000-0006-0000-0100-0000D8020000}">
      <text>
        <r>
          <rPr>
            <sz val="11"/>
            <color theme="1"/>
            <rFont val="Calibri"/>
            <family val="2"/>
            <scheme val="minor"/>
          </rPr>
          <t>Introduzca el código SNIP</t>
        </r>
      </text>
    </comment>
    <comment ref="C770" authorId="2" shapeId="0" xr:uid="{00000000-0006-0000-0100-0000D9020000}">
      <text>
        <r>
          <rPr>
            <sz val="11"/>
            <color theme="1"/>
            <rFont val="Calibri"/>
            <family val="2"/>
            <scheme val="minor"/>
          </rPr>
          <t>Introduzca la fecha de inicio del proceso, en formato dd-mm-aaaa</t>
        </r>
      </text>
    </comment>
    <comment ref="F770"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2" shapeId="0" xr:uid="{00000000-0006-0000-0100-0000DB020000}">
      <text/>
    </comment>
    <comment ref="C772" authorId="2" shapeId="0" xr:uid="{00000000-0006-0000-0100-0000DC020000}">
      <text>
        <r>
          <rPr>
            <sz val="11"/>
            <color theme="1"/>
            <rFont val="Calibri"/>
            <family val="2"/>
            <scheme val="minor"/>
          </rPr>
          <t>Introduzca la fecha prevista de adjudicación, en formato dd-mm-aaaa</t>
        </r>
      </text>
    </comment>
    <comment ref="F772" authorId="2" shapeId="0" xr:uid="{00000000-0006-0000-0100-0000DD020000}">
      <text/>
    </comment>
    <comment ref="F773" authorId="2" shapeId="0" xr:uid="{00000000-0006-0000-0100-0000DE020000}">
      <text/>
    </comment>
    <comment ref="A775" authorId="2" shapeId="0" xr:uid="{00000000-0006-0000-0100-0000DF020000}">
      <text>
        <r>
          <rPr>
            <sz val="11"/>
            <color theme="1"/>
            <rFont val="Calibri"/>
            <family val="2"/>
            <scheme val="minor"/>
          </rPr>
          <t>Introduzca un codigo UNSPSC</t>
        </r>
      </text>
    </comment>
    <comment ref="B775" authorId="2" shapeId="0" xr:uid="{00000000-0006-0000-0100-0000E0020000}">
      <text>
        <r>
          <rPr>
            <sz val="11"/>
            <color theme="1"/>
            <rFont val="Calibri"/>
            <family val="2"/>
            <scheme val="minor"/>
          </rPr>
          <t>Descripción calculada automáticamente a partir de código del artículo</t>
        </r>
      </text>
    </comment>
    <comment ref="C775" authorId="2" shapeId="0" xr:uid="{00000000-0006-0000-0100-0000E1020000}">
      <text>
        <r>
          <rPr>
            <sz val="11"/>
            <color theme="1"/>
            <rFont val="Calibri"/>
            <family val="2"/>
            <scheme val="minor"/>
          </rPr>
          <t>Seleccione un valor de la lista</t>
        </r>
      </text>
    </comment>
    <comment ref="D775" authorId="2" shapeId="0" xr:uid="{00000000-0006-0000-0100-0000E2020000}">
      <text>
        <r>
          <rPr>
            <sz val="11"/>
            <color theme="1"/>
            <rFont val="Calibri"/>
            <family val="2"/>
            <scheme val="minor"/>
          </rPr>
          <t>Introduzca un número con dos decimales como máximo. Debe ser igual o mayor a la "Cantidad Real Consumida"</t>
        </r>
      </text>
    </comment>
    <comment ref="E775" authorId="2" shapeId="0" xr:uid="{00000000-0006-0000-0100-0000E3020000}">
      <text>
        <r>
          <rPr>
            <sz val="11"/>
            <color theme="1"/>
            <rFont val="Calibri"/>
            <family val="2"/>
            <scheme val="minor"/>
          </rPr>
          <t>Introduzca un número con dos decimales como máximo</t>
        </r>
      </text>
    </comment>
    <comment ref="F775" authorId="2" shapeId="0" xr:uid="{00000000-0006-0000-0100-0000E4020000}">
      <text>
        <r>
          <rPr>
            <sz val="11"/>
            <color theme="1"/>
            <rFont val="Calibri"/>
            <family val="2"/>
            <scheme val="minor"/>
          </rPr>
          <t>Monto calculado automáticamente por el sistema</t>
        </r>
      </text>
    </comment>
    <comment ref="A791" authorId="2" shapeId="0" xr:uid="{00000000-0006-0000-0100-0000E5020000}">
      <text>
        <r>
          <rPr>
            <sz val="11"/>
            <color theme="1"/>
            <rFont val="Calibri"/>
            <family val="2"/>
            <scheme val="minor"/>
          </rPr>
          <t>Introducir un texto con el nombre o referencia de la contratación</t>
        </r>
      </text>
    </comment>
    <comment ref="B791" authorId="2" shapeId="0" xr:uid="{00000000-0006-0000-0100-0000E6020000}">
      <text>
        <r>
          <rPr>
            <sz val="11"/>
            <color theme="1"/>
            <rFont val="Calibri"/>
            <family val="2"/>
            <scheme val="minor"/>
          </rPr>
          <t>Introduzca un texto con la finalidad de la contratación</t>
        </r>
      </text>
    </comment>
    <comment ref="C791" authorId="2" shapeId="0" xr:uid="{00000000-0006-0000-0100-0000E7020000}">
      <text>
        <r>
          <rPr>
            <sz val="11"/>
            <color theme="1"/>
            <rFont val="Calibri"/>
            <family val="2"/>
            <scheme val="minor"/>
          </rPr>
          <t>Seleccionar un valor del listado</t>
        </r>
      </text>
    </comment>
    <comment ref="D791" authorId="2" shapeId="0" xr:uid="{00000000-0006-0000-0100-0000E8020000}">
      <text>
        <r>
          <rPr>
            <sz val="11"/>
            <color theme="1"/>
            <rFont val="Calibri"/>
            <family val="2"/>
            <scheme val="minor"/>
          </rPr>
          <t>Seleccione el tipo de procedimiento</t>
        </r>
      </text>
    </comment>
    <comment ref="E791" authorId="2" shapeId="0" xr:uid="{00000000-0006-0000-0100-0000E9020000}">
      <text>
        <r>
          <rPr>
            <sz val="11"/>
            <color theme="1"/>
            <rFont val="Calibri"/>
            <family val="2"/>
            <scheme val="minor"/>
          </rPr>
          <t>Seleccione un valor de la lista</t>
        </r>
      </text>
    </comment>
    <comment ref="F791" authorId="2" shapeId="0" xr:uid="{00000000-0006-0000-0100-0000EA020000}">
      <text>
        <r>
          <rPr>
            <sz val="11"/>
            <color theme="1"/>
            <rFont val="Calibri"/>
            <family val="2"/>
            <scheme val="minor"/>
          </rPr>
          <t>Introduzca el código SNIP</t>
        </r>
      </text>
    </comment>
    <comment ref="C792" authorId="2" shapeId="0" xr:uid="{00000000-0006-0000-0100-0000EB020000}">
      <text>
        <r>
          <rPr>
            <sz val="11"/>
            <color theme="1"/>
            <rFont val="Calibri"/>
            <family val="2"/>
            <scheme val="minor"/>
          </rPr>
          <t>Introduzca la fecha de inicio del proceso, en formato dd-mm-aaaa</t>
        </r>
      </text>
    </comment>
    <comment ref="F792"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2" shapeId="0" xr:uid="{00000000-0006-0000-0100-0000ED020000}">
      <text/>
    </comment>
    <comment ref="C794" authorId="2" shapeId="0" xr:uid="{00000000-0006-0000-0100-0000EE020000}">
      <text>
        <r>
          <rPr>
            <sz val="11"/>
            <color theme="1"/>
            <rFont val="Calibri"/>
            <family val="2"/>
            <scheme val="minor"/>
          </rPr>
          <t>Introduzca la fecha prevista de adjudicación, en formato dd-mm-aaaa</t>
        </r>
      </text>
    </comment>
    <comment ref="F794" authorId="2" shapeId="0" xr:uid="{00000000-0006-0000-0100-0000EF020000}">
      <text/>
    </comment>
    <comment ref="F795" authorId="2" shapeId="0" xr:uid="{00000000-0006-0000-0100-0000F0020000}">
      <text/>
    </comment>
    <comment ref="A797" authorId="2" shapeId="0" xr:uid="{00000000-0006-0000-0100-0000F1020000}">
      <text>
        <r>
          <rPr>
            <sz val="11"/>
            <color theme="1"/>
            <rFont val="Calibri"/>
            <family val="2"/>
            <scheme val="minor"/>
          </rPr>
          <t>Introduzca un codigo UNSPSC</t>
        </r>
      </text>
    </comment>
    <comment ref="B797" authorId="2" shapeId="0" xr:uid="{00000000-0006-0000-0100-0000F2020000}">
      <text>
        <r>
          <rPr>
            <sz val="11"/>
            <color theme="1"/>
            <rFont val="Calibri"/>
            <family val="2"/>
            <scheme val="minor"/>
          </rPr>
          <t>Descripción calculada automáticamente a partir de código del artículo</t>
        </r>
      </text>
    </comment>
    <comment ref="C797" authorId="2" shapeId="0" xr:uid="{00000000-0006-0000-0100-0000F3020000}">
      <text>
        <r>
          <rPr>
            <sz val="11"/>
            <color theme="1"/>
            <rFont val="Calibri"/>
            <family val="2"/>
            <scheme val="minor"/>
          </rPr>
          <t>Seleccione un valor de la lista</t>
        </r>
      </text>
    </comment>
    <comment ref="D797" authorId="2" shapeId="0" xr:uid="{00000000-0006-0000-0100-0000F4020000}">
      <text>
        <r>
          <rPr>
            <sz val="11"/>
            <color theme="1"/>
            <rFont val="Calibri"/>
            <family val="2"/>
            <scheme val="minor"/>
          </rPr>
          <t>Introduzca un número con dos decimales como máximo. Debe ser igual o mayor a la "Cantidad Real Consumida"</t>
        </r>
      </text>
    </comment>
    <comment ref="E797" authorId="2" shapeId="0" xr:uid="{00000000-0006-0000-0100-0000F5020000}">
      <text>
        <r>
          <rPr>
            <sz val="11"/>
            <color theme="1"/>
            <rFont val="Calibri"/>
            <family val="2"/>
            <scheme val="minor"/>
          </rPr>
          <t>Introduzca un número con dos decimales como máximo</t>
        </r>
      </text>
    </comment>
    <comment ref="F797" authorId="2" shapeId="0" xr:uid="{00000000-0006-0000-0100-0000F6020000}">
      <text>
        <r>
          <rPr>
            <sz val="11"/>
            <color theme="1"/>
            <rFont val="Calibri"/>
            <family val="2"/>
            <scheme val="minor"/>
          </rPr>
          <t>Monto calculado automáticamente por el sistema</t>
        </r>
      </text>
    </comment>
    <comment ref="A811" authorId="2" shapeId="0" xr:uid="{00000000-0006-0000-0100-0000F7020000}">
      <text>
        <r>
          <rPr>
            <sz val="11"/>
            <color theme="1"/>
            <rFont val="Calibri"/>
            <family val="2"/>
            <scheme val="minor"/>
          </rPr>
          <t>Introducir un texto con el nombre o referencia de la contratación</t>
        </r>
      </text>
    </comment>
    <comment ref="B811" authorId="2" shapeId="0" xr:uid="{00000000-0006-0000-0100-0000F8020000}">
      <text>
        <r>
          <rPr>
            <sz val="11"/>
            <color theme="1"/>
            <rFont val="Calibri"/>
            <family val="2"/>
            <scheme val="minor"/>
          </rPr>
          <t>Introduzca un texto con la finalidad de la contratación</t>
        </r>
      </text>
    </comment>
    <comment ref="C811" authorId="2" shapeId="0" xr:uid="{00000000-0006-0000-0100-0000F9020000}">
      <text>
        <r>
          <rPr>
            <sz val="11"/>
            <color theme="1"/>
            <rFont val="Calibri"/>
            <family val="2"/>
            <scheme val="minor"/>
          </rPr>
          <t>Seleccionar un valor del listado</t>
        </r>
      </text>
    </comment>
    <comment ref="D811" authorId="2" shapeId="0" xr:uid="{00000000-0006-0000-0100-0000FA020000}">
      <text>
        <r>
          <rPr>
            <sz val="11"/>
            <color theme="1"/>
            <rFont val="Calibri"/>
            <family val="2"/>
            <scheme val="minor"/>
          </rPr>
          <t>Seleccione el tipo de procedimiento</t>
        </r>
      </text>
    </comment>
    <comment ref="E811" authorId="2" shapeId="0" xr:uid="{00000000-0006-0000-0100-0000FB020000}">
      <text>
        <r>
          <rPr>
            <sz val="11"/>
            <color theme="1"/>
            <rFont val="Calibri"/>
            <family val="2"/>
            <scheme val="minor"/>
          </rPr>
          <t>Seleccione un valor de la lista</t>
        </r>
      </text>
    </comment>
    <comment ref="F811" authorId="2" shapeId="0" xr:uid="{00000000-0006-0000-0100-0000FC020000}">
      <text>
        <r>
          <rPr>
            <sz val="11"/>
            <color theme="1"/>
            <rFont val="Calibri"/>
            <family val="2"/>
            <scheme val="minor"/>
          </rPr>
          <t>Introduzca el código SNIP</t>
        </r>
      </text>
    </comment>
    <comment ref="C812" authorId="2" shapeId="0" xr:uid="{00000000-0006-0000-0100-0000FD020000}">
      <text>
        <r>
          <rPr>
            <sz val="11"/>
            <color theme="1"/>
            <rFont val="Calibri"/>
            <family val="2"/>
            <scheme val="minor"/>
          </rPr>
          <t>Introduzca la fecha de inicio del proceso, en formato dd-mm-aaaa</t>
        </r>
      </text>
    </comment>
    <comment ref="F812"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2" shapeId="0" xr:uid="{00000000-0006-0000-0100-0000FF020000}">
      <text/>
    </comment>
    <comment ref="C814" authorId="2" shapeId="0" xr:uid="{00000000-0006-0000-0100-000000030000}">
      <text>
        <r>
          <rPr>
            <sz val="11"/>
            <color theme="1"/>
            <rFont val="Calibri"/>
            <family val="2"/>
            <scheme val="minor"/>
          </rPr>
          <t>Introduzca la fecha prevista de adjudicación, en formato dd-mm-aaaa</t>
        </r>
      </text>
    </comment>
    <comment ref="F814" authorId="2" shapeId="0" xr:uid="{00000000-0006-0000-0100-000001030000}">
      <text/>
    </comment>
    <comment ref="F815" authorId="2" shapeId="0" xr:uid="{00000000-0006-0000-0100-000002030000}">
      <text/>
    </comment>
    <comment ref="A817" authorId="2" shapeId="0" xr:uid="{00000000-0006-0000-0100-000003030000}">
      <text>
        <r>
          <rPr>
            <sz val="11"/>
            <color theme="1"/>
            <rFont val="Calibri"/>
            <family val="2"/>
            <scheme val="minor"/>
          </rPr>
          <t>Introduzca un codigo UNSPSC</t>
        </r>
      </text>
    </comment>
    <comment ref="B817" authorId="2" shapeId="0" xr:uid="{00000000-0006-0000-0100-000004030000}">
      <text>
        <r>
          <rPr>
            <sz val="11"/>
            <color theme="1"/>
            <rFont val="Calibri"/>
            <family val="2"/>
            <scheme val="minor"/>
          </rPr>
          <t>Descripción calculada automáticamente a partir de código del artículo</t>
        </r>
      </text>
    </comment>
    <comment ref="C817" authorId="2" shapeId="0" xr:uid="{00000000-0006-0000-0100-000005030000}">
      <text>
        <r>
          <rPr>
            <sz val="11"/>
            <color theme="1"/>
            <rFont val="Calibri"/>
            <family val="2"/>
            <scheme val="minor"/>
          </rPr>
          <t>Seleccione un valor de la lista</t>
        </r>
      </text>
    </comment>
    <comment ref="D817" authorId="2" shapeId="0" xr:uid="{00000000-0006-0000-0100-000006030000}">
      <text>
        <r>
          <rPr>
            <sz val="11"/>
            <color theme="1"/>
            <rFont val="Calibri"/>
            <family val="2"/>
            <scheme val="minor"/>
          </rPr>
          <t>Introduzca un número con dos decimales como máximo. Debe ser igual o mayor a la "Cantidad Real Consumida"</t>
        </r>
      </text>
    </comment>
    <comment ref="E817" authorId="2" shapeId="0" xr:uid="{00000000-0006-0000-0100-000007030000}">
      <text>
        <r>
          <rPr>
            <sz val="11"/>
            <color theme="1"/>
            <rFont val="Calibri"/>
            <family val="2"/>
            <scheme val="minor"/>
          </rPr>
          <t>Introduzca un número con dos decimales como máximo</t>
        </r>
      </text>
    </comment>
    <comment ref="F817" authorId="2" shapeId="0" xr:uid="{00000000-0006-0000-0100-000008030000}">
      <text>
        <r>
          <rPr>
            <sz val="11"/>
            <color theme="1"/>
            <rFont val="Calibri"/>
            <family val="2"/>
            <scheme val="minor"/>
          </rPr>
          <t>Monto calculado automáticamente por el sistema</t>
        </r>
      </text>
    </comment>
    <comment ref="A831" authorId="2" shapeId="0" xr:uid="{00000000-0006-0000-0100-000009030000}">
      <text>
        <r>
          <rPr>
            <sz val="11"/>
            <color theme="1"/>
            <rFont val="Calibri"/>
            <family val="2"/>
            <scheme val="minor"/>
          </rPr>
          <t>Introducir un texto con el nombre o referencia de la contratación</t>
        </r>
      </text>
    </comment>
    <comment ref="B831" authorId="2" shapeId="0" xr:uid="{00000000-0006-0000-0100-00000A030000}">
      <text>
        <r>
          <rPr>
            <sz val="11"/>
            <color theme="1"/>
            <rFont val="Calibri"/>
            <family val="2"/>
            <scheme val="minor"/>
          </rPr>
          <t>Introduzca un texto con la finalidad de la contratación</t>
        </r>
      </text>
    </comment>
    <comment ref="C831" authorId="2" shapeId="0" xr:uid="{00000000-0006-0000-0100-00000B030000}">
      <text>
        <r>
          <rPr>
            <sz val="11"/>
            <color theme="1"/>
            <rFont val="Calibri"/>
            <family val="2"/>
            <scheme val="minor"/>
          </rPr>
          <t>Seleccionar un valor del listado</t>
        </r>
      </text>
    </comment>
    <comment ref="D831" authorId="2" shapeId="0" xr:uid="{00000000-0006-0000-0100-00000C030000}">
      <text>
        <r>
          <rPr>
            <sz val="11"/>
            <color theme="1"/>
            <rFont val="Calibri"/>
            <family val="2"/>
            <scheme val="minor"/>
          </rPr>
          <t>Seleccione el tipo de procedimiento</t>
        </r>
      </text>
    </comment>
    <comment ref="E831" authorId="2" shapeId="0" xr:uid="{00000000-0006-0000-0100-00000D030000}">
      <text>
        <r>
          <rPr>
            <sz val="11"/>
            <color theme="1"/>
            <rFont val="Calibri"/>
            <family val="2"/>
            <scheme val="minor"/>
          </rPr>
          <t>Seleccione un valor de la lista</t>
        </r>
      </text>
    </comment>
    <comment ref="F831" authorId="2" shapeId="0" xr:uid="{00000000-0006-0000-0100-00000E030000}">
      <text>
        <r>
          <rPr>
            <sz val="11"/>
            <color theme="1"/>
            <rFont val="Calibri"/>
            <family val="2"/>
            <scheme val="minor"/>
          </rPr>
          <t>Introduzca el código SNIP</t>
        </r>
      </text>
    </comment>
    <comment ref="C832" authorId="2" shapeId="0" xr:uid="{00000000-0006-0000-0100-00000F030000}">
      <text>
        <r>
          <rPr>
            <sz val="11"/>
            <color theme="1"/>
            <rFont val="Calibri"/>
            <family val="2"/>
            <scheme val="minor"/>
          </rPr>
          <t>Introduzca la fecha de inicio del proceso, en formato dd-mm-aaaa</t>
        </r>
      </text>
    </comment>
    <comment ref="F832"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xr:uid="{00000000-0006-0000-0100-000011030000}">
      <text/>
    </comment>
    <comment ref="C834" authorId="2" shapeId="0" xr:uid="{00000000-0006-0000-0100-000012030000}">
      <text>
        <r>
          <rPr>
            <sz val="11"/>
            <color theme="1"/>
            <rFont val="Calibri"/>
            <family val="2"/>
            <scheme val="minor"/>
          </rPr>
          <t>Introduzca la fecha prevista de adjudicación, en formato dd-mm-aaaa</t>
        </r>
      </text>
    </comment>
    <comment ref="F834" authorId="2" shapeId="0" xr:uid="{00000000-0006-0000-0100-000013030000}">
      <text/>
    </comment>
    <comment ref="F835" authorId="2" shapeId="0" xr:uid="{00000000-0006-0000-0100-000014030000}">
      <text/>
    </comment>
    <comment ref="A837" authorId="2" shapeId="0" xr:uid="{00000000-0006-0000-0100-000015030000}">
      <text>
        <r>
          <rPr>
            <sz val="11"/>
            <color theme="1"/>
            <rFont val="Calibri"/>
            <family val="2"/>
            <scheme val="minor"/>
          </rPr>
          <t>Introduzca un codigo UNSPSC</t>
        </r>
      </text>
    </comment>
    <comment ref="B837" authorId="2" shapeId="0" xr:uid="{00000000-0006-0000-0100-000016030000}">
      <text>
        <r>
          <rPr>
            <sz val="11"/>
            <color theme="1"/>
            <rFont val="Calibri"/>
            <family val="2"/>
            <scheme val="minor"/>
          </rPr>
          <t>Descripción calculada automáticamente a partir de código del artículo</t>
        </r>
      </text>
    </comment>
    <comment ref="C837" authorId="2" shapeId="0" xr:uid="{00000000-0006-0000-0100-000017030000}">
      <text>
        <r>
          <rPr>
            <sz val="11"/>
            <color theme="1"/>
            <rFont val="Calibri"/>
            <family val="2"/>
            <scheme val="minor"/>
          </rPr>
          <t>Seleccione un valor de la lista</t>
        </r>
      </text>
    </comment>
    <comment ref="D837" authorId="2" shapeId="0" xr:uid="{00000000-0006-0000-0100-000018030000}">
      <text>
        <r>
          <rPr>
            <sz val="11"/>
            <color theme="1"/>
            <rFont val="Calibri"/>
            <family val="2"/>
            <scheme val="minor"/>
          </rPr>
          <t>Introduzca un número con dos decimales como máximo. Debe ser igual o mayor a la "Cantidad Real Consumida"</t>
        </r>
      </text>
    </comment>
    <comment ref="E837" authorId="2" shapeId="0" xr:uid="{00000000-0006-0000-0100-000019030000}">
      <text>
        <r>
          <rPr>
            <sz val="11"/>
            <color theme="1"/>
            <rFont val="Calibri"/>
            <family val="2"/>
            <scheme val="minor"/>
          </rPr>
          <t>Introduzca un número con dos decimales como máximo</t>
        </r>
      </text>
    </comment>
    <comment ref="F837" authorId="2" shapeId="0" xr:uid="{00000000-0006-0000-0100-00001A030000}">
      <text>
        <r>
          <rPr>
            <sz val="11"/>
            <color theme="1"/>
            <rFont val="Calibri"/>
            <family val="2"/>
            <scheme val="minor"/>
          </rPr>
          <t>Monto calculado automáticamente por el sistema</t>
        </r>
      </text>
    </comment>
    <comment ref="A849" authorId="2" shapeId="0" xr:uid="{00000000-0006-0000-0100-00001B030000}">
      <text>
        <r>
          <rPr>
            <sz val="11"/>
            <color theme="1"/>
            <rFont val="Calibri"/>
            <family val="2"/>
            <scheme val="minor"/>
          </rPr>
          <t>Introducir un texto con el nombre o referencia de la contratación</t>
        </r>
      </text>
    </comment>
    <comment ref="B849" authorId="2" shapeId="0" xr:uid="{00000000-0006-0000-0100-00001C030000}">
      <text>
        <r>
          <rPr>
            <sz val="11"/>
            <color theme="1"/>
            <rFont val="Calibri"/>
            <family val="2"/>
            <scheme val="minor"/>
          </rPr>
          <t>Introduzca un texto con la finalidad de la contratación</t>
        </r>
      </text>
    </comment>
    <comment ref="C849" authorId="2" shapeId="0" xr:uid="{00000000-0006-0000-0100-00001D030000}">
      <text>
        <r>
          <rPr>
            <sz val="11"/>
            <color theme="1"/>
            <rFont val="Calibri"/>
            <family val="2"/>
            <scheme val="minor"/>
          </rPr>
          <t>Seleccionar un valor del listado</t>
        </r>
      </text>
    </comment>
    <comment ref="D849" authorId="2" shapeId="0" xr:uid="{00000000-0006-0000-0100-00001E030000}">
      <text>
        <r>
          <rPr>
            <sz val="11"/>
            <color theme="1"/>
            <rFont val="Calibri"/>
            <family val="2"/>
            <scheme val="minor"/>
          </rPr>
          <t>Seleccione el tipo de procedimiento</t>
        </r>
      </text>
    </comment>
    <comment ref="E849" authorId="2" shapeId="0" xr:uid="{00000000-0006-0000-0100-00001F030000}">
      <text>
        <r>
          <rPr>
            <sz val="11"/>
            <color theme="1"/>
            <rFont val="Calibri"/>
            <family val="2"/>
            <scheme val="minor"/>
          </rPr>
          <t>Seleccione un valor de la lista</t>
        </r>
      </text>
    </comment>
    <comment ref="F849" authorId="2" shapeId="0" xr:uid="{00000000-0006-0000-0100-000020030000}">
      <text>
        <r>
          <rPr>
            <sz val="11"/>
            <color theme="1"/>
            <rFont val="Calibri"/>
            <family val="2"/>
            <scheme val="minor"/>
          </rPr>
          <t>Introduzca el código SNIP</t>
        </r>
      </text>
    </comment>
    <comment ref="C850" authorId="2" shapeId="0" xr:uid="{00000000-0006-0000-0100-000021030000}">
      <text>
        <r>
          <rPr>
            <sz val="11"/>
            <color theme="1"/>
            <rFont val="Calibri"/>
            <family val="2"/>
            <scheme val="minor"/>
          </rPr>
          <t>Introduzca la fecha de inicio del proceso, en formato dd-mm-aaaa</t>
        </r>
      </text>
    </comment>
    <comment ref="F850"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shapeId="0" xr:uid="{00000000-0006-0000-0100-000023030000}">
      <text/>
    </comment>
    <comment ref="C852" authorId="2" shapeId="0" xr:uid="{00000000-0006-0000-0100-000024030000}">
      <text>
        <r>
          <rPr>
            <sz val="11"/>
            <color theme="1"/>
            <rFont val="Calibri"/>
            <family val="2"/>
            <scheme val="minor"/>
          </rPr>
          <t>Introduzca la fecha prevista de adjudicación, en formato dd-mm-aaaa</t>
        </r>
      </text>
    </comment>
    <comment ref="F852" authorId="2" shapeId="0" xr:uid="{00000000-0006-0000-0100-000025030000}">
      <text/>
    </comment>
    <comment ref="F853" authorId="2" shapeId="0" xr:uid="{00000000-0006-0000-0100-000026030000}">
      <text/>
    </comment>
    <comment ref="A855" authorId="2" shapeId="0" xr:uid="{00000000-0006-0000-0100-000027030000}">
      <text>
        <r>
          <rPr>
            <sz val="11"/>
            <color theme="1"/>
            <rFont val="Calibri"/>
            <family val="2"/>
            <scheme val="minor"/>
          </rPr>
          <t>Introduzca un codigo UNSPSC</t>
        </r>
      </text>
    </comment>
    <comment ref="B855" authorId="2" shapeId="0" xr:uid="{00000000-0006-0000-0100-000028030000}">
      <text>
        <r>
          <rPr>
            <sz val="11"/>
            <color theme="1"/>
            <rFont val="Calibri"/>
            <family val="2"/>
            <scheme val="minor"/>
          </rPr>
          <t>Descripción calculada automáticamente a partir de código del artículo</t>
        </r>
      </text>
    </comment>
    <comment ref="C855" authorId="2" shapeId="0" xr:uid="{00000000-0006-0000-0100-000029030000}">
      <text>
        <r>
          <rPr>
            <sz val="11"/>
            <color theme="1"/>
            <rFont val="Calibri"/>
            <family val="2"/>
            <scheme val="minor"/>
          </rPr>
          <t>Seleccione un valor de la lista</t>
        </r>
      </text>
    </comment>
    <comment ref="D855" authorId="2" shapeId="0" xr:uid="{00000000-0006-0000-0100-00002A030000}">
      <text>
        <r>
          <rPr>
            <sz val="11"/>
            <color theme="1"/>
            <rFont val="Calibri"/>
            <family val="2"/>
            <scheme val="minor"/>
          </rPr>
          <t>Introduzca un número con dos decimales como máximo. Debe ser igual o mayor a la "Cantidad Real Consumida"</t>
        </r>
      </text>
    </comment>
    <comment ref="E855" authorId="2" shapeId="0" xr:uid="{00000000-0006-0000-0100-00002B030000}">
      <text>
        <r>
          <rPr>
            <sz val="11"/>
            <color theme="1"/>
            <rFont val="Calibri"/>
            <family val="2"/>
            <scheme val="minor"/>
          </rPr>
          <t>Introduzca un número con dos decimales como máximo</t>
        </r>
      </text>
    </comment>
    <comment ref="F855" authorId="2" shapeId="0" xr:uid="{00000000-0006-0000-0100-00002C030000}">
      <text>
        <r>
          <rPr>
            <sz val="11"/>
            <color theme="1"/>
            <rFont val="Calibri"/>
            <family val="2"/>
            <scheme val="minor"/>
          </rPr>
          <t>Monto calculado automáticamente por el sistema</t>
        </r>
      </text>
    </comment>
    <comment ref="A872" authorId="2" shapeId="0" xr:uid="{00000000-0006-0000-0100-00002D030000}">
      <text>
        <r>
          <rPr>
            <sz val="11"/>
            <color theme="1"/>
            <rFont val="Calibri"/>
            <family val="2"/>
            <scheme val="minor"/>
          </rPr>
          <t>Introducir un texto con el nombre o referencia de la contratación</t>
        </r>
      </text>
    </comment>
    <comment ref="B872" authorId="2" shapeId="0" xr:uid="{00000000-0006-0000-0100-00002E030000}">
      <text>
        <r>
          <rPr>
            <sz val="11"/>
            <color theme="1"/>
            <rFont val="Calibri"/>
            <family val="2"/>
            <scheme val="minor"/>
          </rPr>
          <t>Introduzca un texto con la finalidad de la contratación</t>
        </r>
      </text>
    </comment>
    <comment ref="C872" authorId="2" shapeId="0" xr:uid="{00000000-0006-0000-0100-00002F030000}">
      <text>
        <r>
          <rPr>
            <sz val="11"/>
            <color theme="1"/>
            <rFont val="Calibri"/>
            <family val="2"/>
            <scheme val="minor"/>
          </rPr>
          <t>Seleccionar un valor del listado</t>
        </r>
      </text>
    </comment>
    <comment ref="D872" authorId="2" shapeId="0" xr:uid="{00000000-0006-0000-0100-000030030000}">
      <text>
        <r>
          <rPr>
            <sz val="11"/>
            <color theme="1"/>
            <rFont val="Calibri"/>
            <family val="2"/>
            <scheme val="minor"/>
          </rPr>
          <t>Seleccione el tipo de procedimiento</t>
        </r>
      </text>
    </comment>
    <comment ref="E872" authorId="2" shapeId="0" xr:uid="{00000000-0006-0000-0100-000031030000}">
      <text>
        <r>
          <rPr>
            <sz val="11"/>
            <color theme="1"/>
            <rFont val="Calibri"/>
            <family val="2"/>
            <scheme val="minor"/>
          </rPr>
          <t>Seleccione un valor de la lista</t>
        </r>
      </text>
    </comment>
    <comment ref="F872" authorId="2" shapeId="0" xr:uid="{00000000-0006-0000-0100-000032030000}">
      <text>
        <r>
          <rPr>
            <sz val="11"/>
            <color theme="1"/>
            <rFont val="Calibri"/>
            <family val="2"/>
            <scheme val="minor"/>
          </rPr>
          <t>Introduzca el código SNIP</t>
        </r>
      </text>
    </comment>
    <comment ref="C873" authorId="2" shapeId="0" xr:uid="{00000000-0006-0000-0100-000033030000}">
      <text>
        <r>
          <rPr>
            <sz val="11"/>
            <color theme="1"/>
            <rFont val="Calibri"/>
            <family val="2"/>
            <scheme val="minor"/>
          </rPr>
          <t>Introduzca la fecha de inicio del proceso, en formato dd-mm-aaaa</t>
        </r>
      </text>
    </comment>
    <comment ref="F873"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00000000-0006-0000-0100-000035030000}">
      <text/>
    </comment>
    <comment ref="C875" authorId="2" shapeId="0" xr:uid="{00000000-0006-0000-0100-000036030000}">
      <text>
        <r>
          <rPr>
            <sz val="11"/>
            <color theme="1"/>
            <rFont val="Calibri"/>
            <family val="2"/>
            <scheme val="minor"/>
          </rPr>
          <t>Introduzca la fecha prevista de adjudicación, en formato dd-mm-aaaa</t>
        </r>
      </text>
    </comment>
    <comment ref="F875" authorId="2" shapeId="0" xr:uid="{00000000-0006-0000-0100-000037030000}">
      <text/>
    </comment>
    <comment ref="F876" authorId="2" shapeId="0" xr:uid="{00000000-0006-0000-0100-000038030000}">
      <text/>
    </comment>
    <comment ref="A878" authorId="2" shapeId="0" xr:uid="{00000000-0006-0000-0100-000039030000}">
      <text>
        <r>
          <rPr>
            <sz val="11"/>
            <color theme="1"/>
            <rFont val="Calibri"/>
            <family val="2"/>
            <scheme val="minor"/>
          </rPr>
          <t>Introduzca un codigo UNSPSC</t>
        </r>
      </text>
    </comment>
    <comment ref="B878" authorId="2" shapeId="0" xr:uid="{00000000-0006-0000-0100-00003A030000}">
      <text>
        <r>
          <rPr>
            <sz val="11"/>
            <color theme="1"/>
            <rFont val="Calibri"/>
            <family val="2"/>
            <scheme val="minor"/>
          </rPr>
          <t>Descripción calculada automáticamente a partir de código del artículo</t>
        </r>
      </text>
    </comment>
    <comment ref="C878" authorId="2" shapeId="0" xr:uid="{00000000-0006-0000-0100-00003B030000}">
      <text>
        <r>
          <rPr>
            <sz val="11"/>
            <color theme="1"/>
            <rFont val="Calibri"/>
            <family val="2"/>
            <scheme val="minor"/>
          </rPr>
          <t>Seleccione un valor de la lista</t>
        </r>
      </text>
    </comment>
    <comment ref="D878" authorId="2" shapeId="0" xr:uid="{00000000-0006-0000-0100-00003C030000}">
      <text>
        <r>
          <rPr>
            <sz val="11"/>
            <color theme="1"/>
            <rFont val="Calibri"/>
            <family val="2"/>
            <scheme val="minor"/>
          </rPr>
          <t>Introduzca un número con dos decimales como máximo. Debe ser igual o mayor a la "Cantidad Real Consumida"</t>
        </r>
      </text>
    </comment>
    <comment ref="E878" authorId="2" shapeId="0" xr:uid="{00000000-0006-0000-0100-00003D030000}">
      <text>
        <r>
          <rPr>
            <sz val="11"/>
            <color theme="1"/>
            <rFont val="Calibri"/>
            <family val="2"/>
            <scheme val="minor"/>
          </rPr>
          <t>Introduzca un número con dos decimales como máximo</t>
        </r>
      </text>
    </comment>
    <comment ref="F878" authorId="2" shapeId="0" xr:uid="{00000000-0006-0000-0100-00003E030000}">
      <text>
        <r>
          <rPr>
            <sz val="11"/>
            <color theme="1"/>
            <rFont val="Calibri"/>
            <family val="2"/>
            <scheme val="minor"/>
          </rPr>
          <t>Monto calculado automáticamente por el sistema</t>
        </r>
      </text>
    </comment>
    <comment ref="A894" authorId="2" shapeId="0" xr:uid="{00000000-0006-0000-0100-00003F030000}">
      <text>
        <r>
          <rPr>
            <sz val="11"/>
            <color theme="1"/>
            <rFont val="Calibri"/>
            <family val="2"/>
            <scheme val="minor"/>
          </rPr>
          <t>Introducir un texto con el nombre o referencia de la contratación</t>
        </r>
      </text>
    </comment>
    <comment ref="B894" authorId="2" shapeId="0" xr:uid="{00000000-0006-0000-0100-000040030000}">
      <text>
        <r>
          <rPr>
            <sz val="11"/>
            <color theme="1"/>
            <rFont val="Calibri"/>
            <family val="2"/>
            <scheme val="minor"/>
          </rPr>
          <t>Introduzca un texto con la finalidad de la contratación</t>
        </r>
      </text>
    </comment>
    <comment ref="C894" authorId="2" shapeId="0" xr:uid="{00000000-0006-0000-0100-000041030000}">
      <text>
        <r>
          <rPr>
            <sz val="11"/>
            <color theme="1"/>
            <rFont val="Calibri"/>
            <family val="2"/>
            <scheme val="minor"/>
          </rPr>
          <t>Seleccionar un valor del listado</t>
        </r>
      </text>
    </comment>
    <comment ref="D894" authorId="2" shapeId="0" xr:uid="{00000000-0006-0000-0100-000042030000}">
      <text>
        <r>
          <rPr>
            <sz val="11"/>
            <color theme="1"/>
            <rFont val="Calibri"/>
            <family val="2"/>
            <scheme val="minor"/>
          </rPr>
          <t>Seleccione el tipo de procedimiento</t>
        </r>
      </text>
    </comment>
    <comment ref="E894" authorId="2" shapeId="0" xr:uid="{00000000-0006-0000-0100-000043030000}">
      <text>
        <r>
          <rPr>
            <sz val="11"/>
            <color theme="1"/>
            <rFont val="Calibri"/>
            <family val="2"/>
            <scheme val="minor"/>
          </rPr>
          <t>Seleccione un valor de la lista</t>
        </r>
      </text>
    </comment>
    <comment ref="F894" authorId="2" shapeId="0" xr:uid="{00000000-0006-0000-0100-000044030000}">
      <text>
        <r>
          <rPr>
            <sz val="11"/>
            <color theme="1"/>
            <rFont val="Calibri"/>
            <family val="2"/>
            <scheme val="minor"/>
          </rPr>
          <t>Introduzca el código SNIP</t>
        </r>
      </text>
    </comment>
    <comment ref="C895" authorId="2" shapeId="0" xr:uid="{00000000-0006-0000-0100-000045030000}">
      <text>
        <r>
          <rPr>
            <sz val="11"/>
            <color theme="1"/>
            <rFont val="Calibri"/>
            <family val="2"/>
            <scheme val="minor"/>
          </rPr>
          <t>Introduzca la fecha de inicio del proceso, en formato dd-mm-aaaa</t>
        </r>
      </text>
    </comment>
    <comment ref="F895"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2" shapeId="0" xr:uid="{00000000-0006-0000-0100-000047030000}">
      <text/>
    </comment>
    <comment ref="C897" authorId="2" shapeId="0" xr:uid="{00000000-0006-0000-0100-000048030000}">
      <text>
        <r>
          <rPr>
            <sz val="11"/>
            <color theme="1"/>
            <rFont val="Calibri"/>
            <family val="2"/>
            <scheme val="minor"/>
          </rPr>
          <t>Introduzca la fecha prevista de adjudicación, en formato dd-mm-aaaa</t>
        </r>
      </text>
    </comment>
    <comment ref="F897" authorId="2" shapeId="0" xr:uid="{00000000-0006-0000-0100-000049030000}">
      <text/>
    </comment>
    <comment ref="F898" authorId="2" shapeId="0" xr:uid="{00000000-0006-0000-0100-00004A030000}">
      <text/>
    </comment>
    <comment ref="A900" authorId="2" shapeId="0" xr:uid="{00000000-0006-0000-0100-00004B030000}">
      <text>
        <r>
          <rPr>
            <sz val="11"/>
            <color theme="1"/>
            <rFont val="Calibri"/>
            <family val="2"/>
            <scheme val="minor"/>
          </rPr>
          <t>Introduzca un codigo UNSPSC</t>
        </r>
      </text>
    </comment>
    <comment ref="B900" authorId="2" shapeId="0" xr:uid="{00000000-0006-0000-0100-00004C030000}">
      <text>
        <r>
          <rPr>
            <sz val="11"/>
            <color theme="1"/>
            <rFont val="Calibri"/>
            <family val="2"/>
            <scheme val="minor"/>
          </rPr>
          <t>Descripción calculada automáticamente a partir de código del artículo</t>
        </r>
      </text>
    </comment>
    <comment ref="C900" authorId="2" shapeId="0" xr:uid="{00000000-0006-0000-0100-00004D030000}">
      <text>
        <r>
          <rPr>
            <sz val="11"/>
            <color theme="1"/>
            <rFont val="Calibri"/>
            <family val="2"/>
            <scheme val="minor"/>
          </rPr>
          <t>Seleccione un valor de la lista</t>
        </r>
      </text>
    </comment>
    <comment ref="D900" authorId="2" shapeId="0" xr:uid="{00000000-0006-0000-0100-00004E030000}">
      <text>
        <r>
          <rPr>
            <sz val="11"/>
            <color theme="1"/>
            <rFont val="Calibri"/>
            <family val="2"/>
            <scheme val="minor"/>
          </rPr>
          <t>Introduzca un número con dos decimales como máximo. Debe ser igual o mayor a la "Cantidad Real Consumida"</t>
        </r>
      </text>
    </comment>
    <comment ref="E900" authorId="2" shapeId="0" xr:uid="{00000000-0006-0000-0100-00004F030000}">
      <text>
        <r>
          <rPr>
            <sz val="11"/>
            <color theme="1"/>
            <rFont val="Calibri"/>
            <family val="2"/>
            <scheme val="minor"/>
          </rPr>
          <t>Introduzca un número con dos decimales como máximo</t>
        </r>
      </text>
    </comment>
    <comment ref="F900" authorId="2" shapeId="0" xr:uid="{00000000-0006-0000-0100-000050030000}">
      <text>
        <r>
          <rPr>
            <sz val="11"/>
            <color theme="1"/>
            <rFont val="Calibri"/>
            <family val="2"/>
            <scheme val="minor"/>
          </rPr>
          <t>Monto calculado automáticamente por el sistema</t>
        </r>
      </text>
    </comment>
    <comment ref="A917" authorId="2" shapeId="0" xr:uid="{00000000-0006-0000-0100-000051030000}">
      <text>
        <r>
          <rPr>
            <sz val="11"/>
            <color theme="1"/>
            <rFont val="Calibri"/>
            <family val="2"/>
            <scheme val="minor"/>
          </rPr>
          <t>Introducir un texto con el nombre o referencia de la contratación</t>
        </r>
      </text>
    </comment>
    <comment ref="B917" authorId="2" shapeId="0" xr:uid="{00000000-0006-0000-0100-000052030000}">
      <text>
        <r>
          <rPr>
            <sz val="11"/>
            <color theme="1"/>
            <rFont val="Calibri"/>
            <family val="2"/>
            <scheme val="minor"/>
          </rPr>
          <t>Introduzca un texto con la finalidad de la contratación</t>
        </r>
      </text>
    </comment>
    <comment ref="C917" authorId="2" shapeId="0" xr:uid="{00000000-0006-0000-0100-000053030000}">
      <text>
        <r>
          <rPr>
            <sz val="11"/>
            <color theme="1"/>
            <rFont val="Calibri"/>
            <family val="2"/>
            <scheme val="minor"/>
          </rPr>
          <t>Seleccionar un valor del listado</t>
        </r>
      </text>
    </comment>
    <comment ref="D917" authorId="2" shapeId="0" xr:uid="{00000000-0006-0000-0100-000054030000}">
      <text>
        <r>
          <rPr>
            <sz val="11"/>
            <color theme="1"/>
            <rFont val="Calibri"/>
            <family val="2"/>
            <scheme val="minor"/>
          </rPr>
          <t>Seleccione el tipo de procedimiento</t>
        </r>
      </text>
    </comment>
    <comment ref="E917" authorId="2" shapeId="0" xr:uid="{00000000-0006-0000-0100-000055030000}">
      <text>
        <r>
          <rPr>
            <sz val="11"/>
            <color theme="1"/>
            <rFont val="Calibri"/>
            <family val="2"/>
            <scheme val="minor"/>
          </rPr>
          <t>Seleccione un valor de la lista</t>
        </r>
      </text>
    </comment>
    <comment ref="F917" authorId="2" shapeId="0" xr:uid="{00000000-0006-0000-0100-000056030000}">
      <text>
        <r>
          <rPr>
            <sz val="11"/>
            <color theme="1"/>
            <rFont val="Calibri"/>
            <family val="2"/>
            <scheme val="minor"/>
          </rPr>
          <t>Introduzca el código SNIP</t>
        </r>
      </text>
    </comment>
    <comment ref="C918" authorId="2" shapeId="0" xr:uid="{00000000-0006-0000-0100-000057030000}">
      <text>
        <r>
          <rPr>
            <sz val="11"/>
            <color theme="1"/>
            <rFont val="Calibri"/>
            <family val="2"/>
            <scheme val="minor"/>
          </rPr>
          <t>Introduzca la fecha de inicio del proceso, en formato dd-mm-aaaa</t>
        </r>
      </text>
    </comment>
    <comment ref="F918"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2" shapeId="0" xr:uid="{00000000-0006-0000-0100-000059030000}">
      <text/>
    </comment>
    <comment ref="C920" authorId="2" shapeId="0" xr:uid="{00000000-0006-0000-0100-00005A030000}">
      <text>
        <r>
          <rPr>
            <sz val="11"/>
            <color theme="1"/>
            <rFont val="Calibri"/>
            <family val="2"/>
            <scheme val="minor"/>
          </rPr>
          <t>Introduzca la fecha prevista de adjudicación, en formato dd-mm-aaaa</t>
        </r>
      </text>
    </comment>
    <comment ref="F920" authorId="2" shapeId="0" xr:uid="{00000000-0006-0000-0100-00005B030000}">
      <text/>
    </comment>
    <comment ref="F921" authorId="2" shapeId="0" xr:uid="{00000000-0006-0000-0100-00005C030000}">
      <text/>
    </comment>
    <comment ref="A923" authorId="2" shapeId="0" xr:uid="{00000000-0006-0000-0100-00005D030000}">
      <text>
        <r>
          <rPr>
            <sz val="11"/>
            <color theme="1"/>
            <rFont val="Calibri"/>
            <family val="2"/>
            <scheme val="minor"/>
          </rPr>
          <t>Introduzca un codigo UNSPSC</t>
        </r>
      </text>
    </comment>
    <comment ref="B923" authorId="2" shapeId="0" xr:uid="{00000000-0006-0000-0100-00005E030000}">
      <text>
        <r>
          <rPr>
            <sz val="11"/>
            <color theme="1"/>
            <rFont val="Calibri"/>
            <family val="2"/>
            <scheme val="minor"/>
          </rPr>
          <t>Descripción calculada automáticamente a partir de código del artículo</t>
        </r>
      </text>
    </comment>
    <comment ref="C923" authorId="2" shapeId="0" xr:uid="{00000000-0006-0000-0100-00005F030000}">
      <text>
        <r>
          <rPr>
            <sz val="11"/>
            <color theme="1"/>
            <rFont val="Calibri"/>
            <family val="2"/>
            <scheme val="minor"/>
          </rPr>
          <t>Seleccione un valor de la lista</t>
        </r>
      </text>
    </comment>
    <comment ref="D923" authorId="2" shapeId="0" xr:uid="{00000000-0006-0000-0100-000060030000}">
      <text>
        <r>
          <rPr>
            <sz val="11"/>
            <color theme="1"/>
            <rFont val="Calibri"/>
            <family val="2"/>
            <scheme val="minor"/>
          </rPr>
          <t>Introduzca un número con dos decimales como máximo. Debe ser igual o mayor a la "Cantidad Real Consumida"</t>
        </r>
      </text>
    </comment>
    <comment ref="E923" authorId="2" shapeId="0" xr:uid="{00000000-0006-0000-0100-000061030000}">
      <text>
        <r>
          <rPr>
            <sz val="11"/>
            <color theme="1"/>
            <rFont val="Calibri"/>
            <family val="2"/>
            <scheme val="minor"/>
          </rPr>
          <t>Introduzca un número con dos decimales como máximo</t>
        </r>
      </text>
    </comment>
    <comment ref="F923" authorId="2" shapeId="0" xr:uid="{00000000-0006-0000-0100-000062030000}">
      <text>
        <r>
          <rPr>
            <sz val="11"/>
            <color theme="1"/>
            <rFont val="Calibri"/>
            <family val="2"/>
            <scheme val="minor"/>
          </rPr>
          <t>Monto calculado automáticamente por el sistema</t>
        </r>
      </text>
    </comment>
    <comment ref="A940" authorId="2" shapeId="0" xr:uid="{00000000-0006-0000-0100-000063030000}">
      <text>
        <r>
          <rPr>
            <sz val="11"/>
            <color theme="1"/>
            <rFont val="Calibri"/>
            <family val="2"/>
            <scheme val="minor"/>
          </rPr>
          <t>Introducir un texto con el nombre o referencia de la contratación</t>
        </r>
      </text>
    </comment>
    <comment ref="B940" authorId="2" shapeId="0" xr:uid="{00000000-0006-0000-0100-000064030000}">
      <text>
        <r>
          <rPr>
            <sz val="11"/>
            <color theme="1"/>
            <rFont val="Calibri"/>
            <family val="2"/>
            <scheme val="minor"/>
          </rPr>
          <t>Introduzca un texto con la finalidad de la contratación</t>
        </r>
      </text>
    </comment>
    <comment ref="C940" authorId="2" shapeId="0" xr:uid="{00000000-0006-0000-0100-000065030000}">
      <text>
        <r>
          <rPr>
            <sz val="11"/>
            <color theme="1"/>
            <rFont val="Calibri"/>
            <family val="2"/>
            <scheme val="minor"/>
          </rPr>
          <t>Seleccionar un valor del listado</t>
        </r>
      </text>
    </comment>
    <comment ref="D940" authorId="2" shapeId="0" xr:uid="{00000000-0006-0000-0100-000066030000}">
      <text>
        <r>
          <rPr>
            <sz val="11"/>
            <color theme="1"/>
            <rFont val="Calibri"/>
            <family val="2"/>
            <scheme val="minor"/>
          </rPr>
          <t>Seleccione el tipo de procedimiento</t>
        </r>
      </text>
    </comment>
    <comment ref="E940" authorId="2" shapeId="0" xr:uid="{00000000-0006-0000-0100-000067030000}">
      <text>
        <r>
          <rPr>
            <sz val="11"/>
            <color theme="1"/>
            <rFont val="Calibri"/>
            <family val="2"/>
            <scheme val="minor"/>
          </rPr>
          <t>Seleccione un valor de la lista</t>
        </r>
      </text>
    </comment>
    <comment ref="F940" authorId="2" shapeId="0" xr:uid="{00000000-0006-0000-0100-000068030000}">
      <text>
        <r>
          <rPr>
            <sz val="11"/>
            <color theme="1"/>
            <rFont val="Calibri"/>
            <family val="2"/>
            <scheme val="minor"/>
          </rPr>
          <t>Introduzca el código SNIP</t>
        </r>
      </text>
    </comment>
    <comment ref="C941" authorId="2" shapeId="0" xr:uid="{00000000-0006-0000-0100-000069030000}">
      <text>
        <r>
          <rPr>
            <sz val="11"/>
            <color theme="1"/>
            <rFont val="Calibri"/>
            <family val="2"/>
            <scheme val="minor"/>
          </rPr>
          <t>Introduzca la fecha de inicio del proceso, en formato dd-mm-aaaa</t>
        </r>
      </text>
    </comment>
    <comment ref="F941"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2" shapeId="0" xr:uid="{00000000-0006-0000-0100-00006B030000}">
      <text/>
    </comment>
    <comment ref="C943" authorId="2" shapeId="0" xr:uid="{00000000-0006-0000-0100-00006C030000}">
      <text>
        <r>
          <rPr>
            <sz val="11"/>
            <color theme="1"/>
            <rFont val="Calibri"/>
            <family val="2"/>
            <scheme val="minor"/>
          </rPr>
          <t>Introduzca la fecha prevista de adjudicación, en formato dd-mm-aaaa</t>
        </r>
      </text>
    </comment>
    <comment ref="F943" authorId="2" shapeId="0" xr:uid="{00000000-0006-0000-0100-00006D030000}">
      <text/>
    </comment>
    <comment ref="F944" authorId="2" shapeId="0" xr:uid="{00000000-0006-0000-0100-00006E030000}">
      <text/>
    </comment>
    <comment ref="A946" authorId="2" shapeId="0" xr:uid="{00000000-0006-0000-0100-00006F030000}">
      <text>
        <r>
          <rPr>
            <sz val="11"/>
            <color theme="1"/>
            <rFont val="Calibri"/>
            <family val="2"/>
            <scheme val="minor"/>
          </rPr>
          <t>Introduzca un codigo UNSPSC</t>
        </r>
      </text>
    </comment>
    <comment ref="B946" authorId="2" shapeId="0" xr:uid="{00000000-0006-0000-0100-000070030000}">
      <text>
        <r>
          <rPr>
            <sz val="11"/>
            <color theme="1"/>
            <rFont val="Calibri"/>
            <family val="2"/>
            <scheme val="minor"/>
          </rPr>
          <t>Descripción calculada automáticamente a partir de código del artículo</t>
        </r>
      </text>
    </comment>
    <comment ref="C946" authorId="2" shapeId="0" xr:uid="{00000000-0006-0000-0100-000071030000}">
      <text>
        <r>
          <rPr>
            <sz val="11"/>
            <color theme="1"/>
            <rFont val="Calibri"/>
            <family val="2"/>
            <scheme val="minor"/>
          </rPr>
          <t>Seleccione un valor de la lista</t>
        </r>
      </text>
    </comment>
    <comment ref="D946" authorId="2" shapeId="0" xr:uid="{00000000-0006-0000-0100-000072030000}">
      <text>
        <r>
          <rPr>
            <sz val="11"/>
            <color theme="1"/>
            <rFont val="Calibri"/>
            <family val="2"/>
            <scheme val="minor"/>
          </rPr>
          <t>Introduzca un número con dos decimales como máximo. Debe ser igual o mayor a la "Cantidad Real Consumida"</t>
        </r>
      </text>
    </comment>
    <comment ref="E946" authorId="2" shapeId="0" xr:uid="{00000000-0006-0000-0100-000073030000}">
      <text>
        <r>
          <rPr>
            <sz val="11"/>
            <color theme="1"/>
            <rFont val="Calibri"/>
            <family val="2"/>
            <scheme val="minor"/>
          </rPr>
          <t>Introduzca un número con dos decimales como máximo</t>
        </r>
      </text>
    </comment>
    <comment ref="F946" authorId="2" shapeId="0" xr:uid="{00000000-0006-0000-0100-000074030000}">
      <text>
        <r>
          <rPr>
            <sz val="11"/>
            <color theme="1"/>
            <rFont val="Calibri"/>
            <family val="2"/>
            <scheme val="minor"/>
          </rPr>
          <t>Monto calculado automáticamente por el sistema</t>
        </r>
      </text>
    </comment>
    <comment ref="A956" authorId="2" shapeId="0" xr:uid="{00000000-0006-0000-0100-000075030000}">
      <text>
        <r>
          <rPr>
            <sz val="11"/>
            <color theme="1"/>
            <rFont val="Calibri"/>
            <family val="2"/>
            <scheme val="minor"/>
          </rPr>
          <t>Introducir un texto con el nombre o referencia de la contratación</t>
        </r>
      </text>
    </comment>
    <comment ref="B956" authorId="2" shapeId="0" xr:uid="{00000000-0006-0000-0100-000076030000}">
      <text>
        <r>
          <rPr>
            <sz val="11"/>
            <color theme="1"/>
            <rFont val="Calibri"/>
            <family val="2"/>
            <scheme val="minor"/>
          </rPr>
          <t>Introduzca un texto con la finalidad de la contratación</t>
        </r>
      </text>
    </comment>
    <comment ref="C956" authorId="2" shapeId="0" xr:uid="{00000000-0006-0000-0100-000077030000}">
      <text>
        <r>
          <rPr>
            <sz val="11"/>
            <color theme="1"/>
            <rFont val="Calibri"/>
            <family val="2"/>
            <scheme val="minor"/>
          </rPr>
          <t>Seleccionar un valor del listado</t>
        </r>
      </text>
    </comment>
    <comment ref="D956" authorId="2" shapeId="0" xr:uid="{00000000-0006-0000-0100-000078030000}">
      <text>
        <r>
          <rPr>
            <sz val="11"/>
            <color theme="1"/>
            <rFont val="Calibri"/>
            <family val="2"/>
            <scheme val="minor"/>
          </rPr>
          <t>Seleccione el tipo de procedimiento</t>
        </r>
      </text>
    </comment>
    <comment ref="E956" authorId="2" shapeId="0" xr:uid="{00000000-0006-0000-0100-000079030000}">
      <text>
        <r>
          <rPr>
            <sz val="11"/>
            <color theme="1"/>
            <rFont val="Calibri"/>
            <family val="2"/>
            <scheme val="minor"/>
          </rPr>
          <t>Seleccione un valor de la lista</t>
        </r>
      </text>
    </comment>
    <comment ref="F956" authorId="2" shapeId="0" xr:uid="{00000000-0006-0000-0100-00007A030000}">
      <text>
        <r>
          <rPr>
            <sz val="11"/>
            <color theme="1"/>
            <rFont val="Calibri"/>
            <family val="2"/>
            <scheme val="minor"/>
          </rPr>
          <t>Introduzca el código SNIP</t>
        </r>
      </text>
    </comment>
    <comment ref="C957" authorId="2" shapeId="0" xr:uid="{00000000-0006-0000-0100-00007B030000}">
      <text>
        <r>
          <rPr>
            <sz val="11"/>
            <color theme="1"/>
            <rFont val="Calibri"/>
            <family val="2"/>
            <scheme val="minor"/>
          </rPr>
          <t>Introduzca la fecha de inicio del proceso, en formato dd-mm-aaaa</t>
        </r>
      </text>
    </comment>
    <comment ref="F957"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2" shapeId="0" xr:uid="{00000000-0006-0000-0100-00007D030000}">
      <text/>
    </comment>
    <comment ref="C959" authorId="2" shapeId="0" xr:uid="{00000000-0006-0000-0100-00007E030000}">
      <text>
        <r>
          <rPr>
            <sz val="11"/>
            <color theme="1"/>
            <rFont val="Calibri"/>
            <family val="2"/>
            <scheme val="minor"/>
          </rPr>
          <t>Introduzca la fecha prevista de adjudicación, en formato dd-mm-aaaa</t>
        </r>
      </text>
    </comment>
    <comment ref="F959" authorId="2" shapeId="0" xr:uid="{00000000-0006-0000-0100-00007F030000}">
      <text/>
    </comment>
    <comment ref="F960" authorId="2" shapeId="0" xr:uid="{00000000-0006-0000-0100-000080030000}">
      <text/>
    </comment>
    <comment ref="A962" authorId="2" shapeId="0" xr:uid="{00000000-0006-0000-0100-000081030000}">
      <text>
        <r>
          <rPr>
            <sz val="11"/>
            <color theme="1"/>
            <rFont val="Calibri"/>
            <family val="2"/>
            <scheme val="minor"/>
          </rPr>
          <t>Introduzca un codigo UNSPSC</t>
        </r>
      </text>
    </comment>
    <comment ref="B962" authorId="2" shapeId="0" xr:uid="{00000000-0006-0000-0100-000082030000}">
      <text>
        <r>
          <rPr>
            <sz val="11"/>
            <color theme="1"/>
            <rFont val="Calibri"/>
            <family val="2"/>
            <scheme val="minor"/>
          </rPr>
          <t>Descripción calculada automáticamente a partir de código del artículo</t>
        </r>
      </text>
    </comment>
    <comment ref="C962" authorId="2" shapeId="0" xr:uid="{00000000-0006-0000-0100-000083030000}">
      <text>
        <r>
          <rPr>
            <sz val="11"/>
            <color theme="1"/>
            <rFont val="Calibri"/>
            <family val="2"/>
            <scheme val="minor"/>
          </rPr>
          <t>Seleccione un valor de la lista</t>
        </r>
      </text>
    </comment>
    <comment ref="D962" authorId="2" shapeId="0" xr:uid="{00000000-0006-0000-0100-000084030000}">
      <text>
        <r>
          <rPr>
            <sz val="11"/>
            <color theme="1"/>
            <rFont val="Calibri"/>
            <family val="2"/>
            <scheme val="minor"/>
          </rPr>
          <t>Introduzca un número con dos decimales como máximo. Debe ser igual o mayor a la "Cantidad Real Consumida"</t>
        </r>
      </text>
    </comment>
    <comment ref="E962" authorId="2" shapeId="0" xr:uid="{00000000-0006-0000-0100-000085030000}">
      <text>
        <r>
          <rPr>
            <sz val="11"/>
            <color theme="1"/>
            <rFont val="Calibri"/>
            <family val="2"/>
            <scheme val="minor"/>
          </rPr>
          <t>Introduzca un número con dos decimales como máximo</t>
        </r>
      </text>
    </comment>
    <comment ref="F962" authorId="2" shapeId="0" xr:uid="{00000000-0006-0000-0100-000086030000}">
      <text>
        <r>
          <rPr>
            <sz val="11"/>
            <color theme="1"/>
            <rFont val="Calibri"/>
            <family val="2"/>
            <scheme val="minor"/>
          </rPr>
          <t>Monto calculado automáticamente por el sistema</t>
        </r>
      </text>
    </comment>
    <comment ref="A971" authorId="2" shapeId="0" xr:uid="{00000000-0006-0000-0100-000087030000}">
      <text>
        <r>
          <rPr>
            <sz val="11"/>
            <color theme="1"/>
            <rFont val="Calibri"/>
            <family val="2"/>
            <scheme val="minor"/>
          </rPr>
          <t>Introducir un texto con el nombre o referencia de la contratación</t>
        </r>
      </text>
    </comment>
    <comment ref="B971" authorId="2" shapeId="0" xr:uid="{00000000-0006-0000-0100-000088030000}">
      <text>
        <r>
          <rPr>
            <sz val="11"/>
            <color theme="1"/>
            <rFont val="Calibri"/>
            <family val="2"/>
            <scheme val="minor"/>
          </rPr>
          <t>Introduzca un texto con la finalidad de la contratación</t>
        </r>
      </text>
    </comment>
    <comment ref="C971" authorId="2" shapeId="0" xr:uid="{00000000-0006-0000-0100-000089030000}">
      <text>
        <r>
          <rPr>
            <sz val="11"/>
            <color theme="1"/>
            <rFont val="Calibri"/>
            <family val="2"/>
            <scheme val="minor"/>
          </rPr>
          <t>Seleccionar un valor del listado</t>
        </r>
      </text>
    </comment>
    <comment ref="D971" authorId="2" shapeId="0" xr:uid="{00000000-0006-0000-0100-00008A030000}">
      <text>
        <r>
          <rPr>
            <sz val="11"/>
            <color theme="1"/>
            <rFont val="Calibri"/>
            <family val="2"/>
            <scheme val="minor"/>
          </rPr>
          <t>Seleccione el tipo de procedimiento</t>
        </r>
      </text>
    </comment>
    <comment ref="E971" authorId="2" shapeId="0" xr:uid="{00000000-0006-0000-0100-00008B030000}">
      <text>
        <r>
          <rPr>
            <sz val="11"/>
            <color theme="1"/>
            <rFont val="Calibri"/>
            <family val="2"/>
            <scheme val="minor"/>
          </rPr>
          <t>Seleccione un valor de la lista</t>
        </r>
      </text>
    </comment>
    <comment ref="F971" authorId="2" shapeId="0" xr:uid="{00000000-0006-0000-0100-00008C030000}">
      <text>
        <r>
          <rPr>
            <sz val="11"/>
            <color theme="1"/>
            <rFont val="Calibri"/>
            <family val="2"/>
            <scheme val="minor"/>
          </rPr>
          <t>Introduzca el código SNIP</t>
        </r>
      </text>
    </comment>
    <comment ref="C972" authorId="2" shapeId="0" xr:uid="{00000000-0006-0000-0100-00008D030000}">
      <text>
        <r>
          <rPr>
            <sz val="11"/>
            <color theme="1"/>
            <rFont val="Calibri"/>
            <family val="2"/>
            <scheme val="minor"/>
          </rPr>
          <t>Introduzca la fecha de inicio del proceso, en formato dd-mm-aaaa</t>
        </r>
      </text>
    </comment>
    <comment ref="F972"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2" shapeId="0" xr:uid="{00000000-0006-0000-0100-00008F030000}">
      <text/>
    </comment>
    <comment ref="C974" authorId="2" shapeId="0" xr:uid="{00000000-0006-0000-0100-000090030000}">
      <text>
        <r>
          <rPr>
            <sz val="11"/>
            <color theme="1"/>
            <rFont val="Calibri"/>
            <family val="2"/>
            <scheme val="minor"/>
          </rPr>
          <t>Introduzca la fecha prevista de adjudicación, en formato dd-mm-aaaa</t>
        </r>
      </text>
    </comment>
    <comment ref="F974" authorId="2" shapeId="0" xr:uid="{00000000-0006-0000-0100-000091030000}">
      <text/>
    </comment>
    <comment ref="F975" authorId="2" shapeId="0" xr:uid="{00000000-0006-0000-0100-000092030000}">
      <text/>
    </comment>
    <comment ref="A977" authorId="2" shapeId="0" xr:uid="{00000000-0006-0000-0100-000093030000}">
      <text>
        <r>
          <rPr>
            <sz val="11"/>
            <color theme="1"/>
            <rFont val="Calibri"/>
            <family val="2"/>
            <scheme val="minor"/>
          </rPr>
          <t>Introduzca un codigo UNSPSC</t>
        </r>
      </text>
    </comment>
    <comment ref="B977" authorId="2" shapeId="0" xr:uid="{00000000-0006-0000-0100-000094030000}">
      <text>
        <r>
          <rPr>
            <sz val="11"/>
            <color theme="1"/>
            <rFont val="Calibri"/>
            <family val="2"/>
            <scheme val="minor"/>
          </rPr>
          <t>Descripción calculada automáticamente a partir de código del artículo</t>
        </r>
      </text>
    </comment>
    <comment ref="C977" authorId="2" shapeId="0" xr:uid="{00000000-0006-0000-0100-000095030000}">
      <text>
        <r>
          <rPr>
            <sz val="11"/>
            <color theme="1"/>
            <rFont val="Calibri"/>
            <family val="2"/>
            <scheme val="minor"/>
          </rPr>
          <t>Seleccione un valor de la lista</t>
        </r>
      </text>
    </comment>
    <comment ref="D977" authorId="2" shapeId="0" xr:uid="{00000000-0006-0000-0100-000096030000}">
      <text>
        <r>
          <rPr>
            <sz val="11"/>
            <color theme="1"/>
            <rFont val="Calibri"/>
            <family val="2"/>
            <scheme val="minor"/>
          </rPr>
          <t>Introduzca un número con dos decimales como máximo. Debe ser igual o mayor a la "Cantidad Real Consumida"</t>
        </r>
      </text>
    </comment>
    <comment ref="E977" authorId="2" shapeId="0" xr:uid="{00000000-0006-0000-0100-000097030000}">
      <text>
        <r>
          <rPr>
            <sz val="11"/>
            <color theme="1"/>
            <rFont val="Calibri"/>
            <family val="2"/>
            <scheme val="minor"/>
          </rPr>
          <t>Introduzca un número con dos decimales como máximo</t>
        </r>
      </text>
    </comment>
    <comment ref="F977" authorId="2" shapeId="0" xr:uid="{00000000-0006-0000-0100-000098030000}">
      <text>
        <r>
          <rPr>
            <sz val="11"/>
            <color theme="1"/>
            <rFont val="Calibri"/>
            <family val="2"/>
            <scheme val="minor"/>
          </rPr>
          <t>Monto calculado automáticamente por el sistema</t>
        </r>
      </text>
    </comment>
    <comment ref="A986" authorId="2" shapeId="0" xr:uid="{00000000-0006-0000-0100-000099030000}">
      <text>
        <r>
          <rPr>
            <sz val="11"/>
            <color theme="1"/>
            <rFont val="Calibri"/>
            <family val="2"/>
            <scheme val="minor"/>
          </rPr>
          <t>Introducir un texto con el nombre o referencia de la contratación</t>
        </r>
      </text>
    </comment>
    <comment ref="B986" authorId="2" shapeId="0" xr:uid="{00000000-0006-0000-0100-00009A030000}">
      <text>
        <r>
          <rPr>
            <sz val="11"/>
            <color theme="1"/>
            <rFont val="Calibri"/>
            <family val="2"/>
            <scheme val="minor"/>
          </rPr>
          <t>Introduzca un texto con la finalidad de la contratación</t>
        </r>
      </text>
    </comment>
    <comment ref="C986" authorId="2" shapeId="0" xr:uid="{00000000-0006-0000-0100-00009B030000}">
      <text>
        <r>
          <rPr>
            <sz val="11"/>
            <color theme="1"/>
            <rFont val="Calibri"/>
            <family val="2"/>
            <scheme val="minor"/>
          </rPr>
          <t>Seleccionar un valor del listado</t>
        </r>
      </text>
    </comment>
    <comment ref="D986" authorId="2" shapeId="0" xr:uid="{00000000-0006-0000-0100-00009C030000}">
      <text>
        <r>
          <rPr>
            <sz val="11"/>
            <color theme="1"/>
            <rFont val="Calibri"/>
            <family val="2"/>
            <scheme val="minor"/>
          </rPr>
          <t>Seleccione el tipo de procedimiento</t>
        </r>
      </text>
    </comment>
    <comment ref="E986" authorId="2" shapeId="0" xr:uid="{00000000-0006-0000-0100-00009D030000}">
      <text>
        <r>
          <rPr>
            <sz val="11"/>
            <color theme="1"/>
            <rFont val="Calibri"/>
            <family val="2"/>
            <scheme val="minor"/>
          </rPr>
          <t>Seleccione un valor de la lista</t>
        </r>
      </text>
    </comment>
    <comment ref="F986" authorId="2" shapeId="0" xr:uid="{00000000-0006-0000-0100-00009E030000}">
      <text>
        <r>
          <rPr>
            <sz val="11"/>
            <color theme="1"/>
            <rFont val="Calibri"/>
            <family val="2"/>
            <scheme val="minor"/>
          </rPr>
          <t>Introduzca el código SNIP</t>
        </r>
      </text>
    </comment>
    <comment ref="C987" authorId="2" shapeId="0" xr:uid="{00000000-0006-0000-0100-00009F030000}">
      <text>
        <r>
          <rPr>
            <sz val="11"/>
            <color theme="1"/>
            <rFont val="Calibri"/>
            <family val="2"/>
            <scheme val="minor"/>
          </rPr>
          <t>Introduzca la fecha de inicio del proceso, en formato dd-mm-aaaa</t>
        </r>
      </text>
    </comment>
    <comment ref="F987"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2" shapeId="0" xr:uid="{00000000-0006-0000-0100-0000A1030000}">
      <text/>
    </comment>
    <comment ref="C989" authorId="2" shapeId="0" xr:uid="{00000000-0006-0000-0100-0000A2030000}">
      <text>
        <r>
          <rPr>
            <sz val="11"/>
            <color theme="1"/>
            <rFont val="Calibri"/>
            <family val="2"/>
            <scheme val="minor"/>
          </rPr>
          <t>Introduzca la fecha prevista de adjudicación, en formato dd-mm-aaaa</t>
        </r>
      </text>
    </comment>
    <comment ref="F989" authorId="2" shapeId="0" xr:uid="{00000000-0006-0000-0100-0000A3030000}">
      <text/>
    </comment>
    <comment ref="F990" authorId="2" shapeId="0" xr:uid="{00000000-0006-0000-0100-0000A4030000}">
      <text/>
    </comment>
    <comment ref="A992" authorId="2" shapeId="0" xr:uid="{00000000-0006-0000-0100-0000A5030000}">
      <text>
        <r>
          <rPr>
            <sz val="11"/>
            <color theme="1"/>
            <rFont val="Calibri"/>
            <family val="2"/>
            <scheme val="minor"/>
          </rPr>
          <t>Introduzca un codigo UNSPSC</t>
        </r>
      </text>
    </comment>
    <comment ref="B992" authorId="2" shapeId="0" xr:uid="{00000000-0006-0000-0100-0000A6030000}">
      <text>
        <r>
          <rPr>
            <sz val="11"/>
            <color theme="1"/>
            <rFont val="Calibri"/>
            <family val="2"/>
            <scheme val="minor"/>
          </rPr>
          <t>Descripción calculada automáticamente a partir de código del artículo</t>
        </r>
      </text>
    </comment>
    <comment ref="C992" authorId="2" shapeId="0" xr:uid="{00000000-0006-0000-0100-0000A7030000}">
      <text>
        <r>
          <rPr>
            <sz val="11"/>
            <color theme="1"/>
            <rFont val="Calibri"/>
            <family val="2"/>
            <scheme val="minor"/>
          </rPr>
          <t>Seleccione un valor de la lista</t>
        </r>
      </text>
    </comment>
    <comment ref="D992" authorId="2" shapeId="0" xr:uid="{00000000-0006-0000-0100-0000A8030000}">
      <text>
        <r>
          <rPr>
            <sz val="11"/>
            <color theme="1"/>
            <rFont val="Calibri"/>
            <family val="2"/>
            <scheme val="minor"/>
          </rPr>
          <t>Introduzca un número con dos decimales como máximo. Debe ser igual o mayor a la "Cantidad Real Consumida"</t>
        </r>
      </text>
    </comment>
    <comment ref="E992" authorId="2" shapeId="0" xr:uid="{00000000-0006-0000-0100-0000A9030000}">
      <text>
        <r>
          <rPr>
            <sz val="11"/>
            <color theme="1"/>
            <rFont val="Calibri"/>
            <family val="2"/>
            <scheme val="minor"/>
          </rPr>
          <t>Introduzca un número con dos decimales como máximo</t>
        </r>
      </text>
    </comment>
    <comment ref="F992" authorId="2" shapeId="0" xr:uid="{00000000-0006-0000-0100-0000AA030000}">
      <text>
        <r>
          <rPr>
            <sz val="11"/>
            <color theme="1"/>
            <rFont val="Calibri"/>
            <family val="2"/>
            <scheme val="minor"/>
          </rPr>
          <t>Monto calculado automáticamente por el sistema</t>
        </r>
      </text>
    </comment>
    <comment ref="A1003" authorId="2" shapeId="0" xr:uid="{00000000-0006-0000-0100-0000AB030000}">
      <text>
        <r>
          <rPr>
            <sz val="11"/>
            <color theme="1"/>
            <rFont val="Calibri"/>
            <family val="2"/>
            <scheme val="minor"/>
          </rPr>
          <t>Introducir un texto con el nombre o referencia de la contratación</t>
        </r>
      </text>
    </comment>
    <comment ref="B1003" authorId="2" shapeId="0" xr:uid="{00000000-0006-0000-0100-0000AC030000}">
      <text>
        <r>
          <rPr>
            <sz val="11"/>
            <color theme="1"/>
            <rFont val="Calibri"/>
            <family val="2"/>
            <scheme val="minor"/>
          </rPr>
          <t>Introduzca un texto con la finalidad de la contratación</t>
        </r>
      </text>
    </comment>
    <comment ref="C1003" authorId="2" shapeId="0" xr:uid="{00000000-0006-0000-0100-0000AD030000}">
      <text>
        <r>
          <rPr>
            <sz val="11"/>
            <color theme="1"/>
            <rFont val="Calibri"/>
            <family val="2"/>
            <scheme val="minor"/>
          </rPr>
          <t>Seleccionar un valor del listado</t>
        </r>
      </text>
    </comment>
    <comment ref="D1003" authorId="2" shapeId="0" xr:uid="{00000000-0006-0000-0100-0000AE030000}">
      <text>
        <r>
          <rPr>
            <sz val="11"/>
            <color theme="1"/>
            <rFont val="Calibri"/>
            <family val="2"/>
            <scheme val="minor"/>
          </rPr>
          <t>Seleccione el tipo de procedimiento</t>
        </r>
      </text>
    </comment>
    <comment ref="E1003" authorId="2" shapeId="0" xr:uid="{00000000-0006-0000-0100-0000AF030000}">
      <text>
        <r>
          <rPr>
            <sz val="11"/>
            <color theme="1"/>
            <rFont val="Calibri"/>
            <family val="2"/>
            <scheme val="minor"/>
          </rPr>
          <t>Seleccione un valor de la lista</t>
        </r>
      </text>
    </comment>
    <comment ref="F1003" authorId="2" shapeId="0" xr:uid="{00000000-0006-0000-0100-0000B0030000}">
      <text>
        <r>
          <rPr>
            <sz val="11"/>
            <color theme="1"/>
            <rFont val="Calibri"/>
            <family val="2"/>
            <scheme val="minor"/>
          </rPr>
          <t>Introduzca el código SNIP</t>
        </r>
      </text>
    </comment>
    <comment ref="C1004" authorId="2" shapeId="0" xr:uid="{00000000-0006-0000-0100-0000B1030000}">
      <text>
        <r>
          <rPr>
            <sz val="11"/>
            <color theme="1"/>
            <rFont val="Calibri"/>
            <family val="2"/>
            <scheme val="minor"/>
          </rPr>
          <t>Introduzca la fecha de inicio del proceso, en formato dd-mm-aaaa</t>
        </r>
      </text>
    </comment>
    <comment ref="F1004"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xr:uid="{00000000-0006-0000-0100-0000B3030000}">
      <text/>
    </comment>
    <comment ref="C1006" authorId="2" shapeId="0" xr:uid="{00000000-0006-0000-0100-0000B4030000}">
      <text>
        <r>
          <rPr>
            <sz val="11"/>
            <color theme="1"/>
            <rFont val="Calibri"/>
            <family val="2"/>
            <scheme val="minor"/>
          </rPr>
          <t>Introduzca la fecha prevista de adjudicación, en formato dd-mm-aaaa</t>
        </r>
      </text>
    </comment>
    <comment ref="F1006" authorId="2" shapeId="0" xr:uid="{00000000-0006-0000-0100-0000B5030000}">
      <text/>
    </comment>
    <comment ref="F1007" authorId="2" shapeId="0" xr:uid="{00000000-0006-0000-0100-0000B6030000}">
      <text/>
    </comment>
    <comment ref="A1009" authorId="2" shapeId="0" xr:uid="{00000000-0006-0000-0100-0000B7030000}">
      <text>
        <r>
          <rPr>
            <sz val="11"/>
            <color theme="1"/>
            <rFont val="Calibri"/>
            <family val="2"/>
            <scheme val="minor"/>
          </rPr>
          <t>Introduzca un codigo UNSPSC</t>
        </r>
      </text>
    </comment>
    <comment ref="B1009" authorId="2" shapeId="0" xr:uid="{00000000-0006-0000-0100-0000B8030000}">
      <text>
        <r>
          <rPr>
            <sz val="11"/>
            <color theme="1"/>
            <rFont val="Calibri"/>
            <family val="2"/>
            <scheme val="minor"/>
          </rPr>
          <t>Descripción calculada automáticamente a partir de código del artículo</t>
        </r>
      </text>
    </comment>
    <comment ref="C1009" authorId="2" shapeId="0" xr:uid="{00000000-0006-0000-0100-0000B9030000}">
      <text>
        <r>
          <rPr>
            <sz val="11"/>
            <color theme="1"/>
            <rFont val="Calibri"/>
            <family val="2"/>
            <scheme val="minor"/>
          </rPr>
          <t>Seleccione un valor de la lista</t>
        </r>
      </text>
    </comment>
    <comment ref="D1009" authorId="2" shapeId="0" xr:uid="{00000000-0006-0000-0100-0000BA030000}">
      <text>
        <r>
          <rPr>
            <sz val="11"/>
            <color theme="1"/>
            <rFont val="Calibri"/>
            <family val="2"/>
            <scheme val="minor"/>
          </rPr>
          <t>Introduzca un número con dos decimales como máximo. Debe ser igual o mayor a la "Cantidad Real Consumida"</t>
        </r>
      </text>
    </comment>
    <comment ref="E1009" authorId="2" shapeId="0" xr:uid="{00000000-0006-0000-0100-0000BB030000}">
      <text>
        <r>
          <rPr>
            <sz val="11"/>
            <color theme="1"/>
            <rFont val="Calibri"/>
            <family val="2"/>
            <scheme val="minor"/>
          </rPr>
          <t>Introduzca un número con dos decimales como máximo</t>
        </r>
      </text>
    </comment>
    <comment ref="F1009" authorId="2" shapeId="0" xr:uid="{00000000-0006-0000-0100-0000BC030000}">
      <text>
        <r>
          <rPr>
            <sz val="11"/>
            <color theme="1"/>
            <rFont val="Calibri"/>
            <family val="2"/>
            <scheme val="minor"/>
          </rPr>
          <t>Monto calculado automáticamente por el sistema</t>
        </r>
      </text>
    </comment>
    <comment ref="A1028" authorId="2" shapeId="0" xr:uid="{00000000-0006-0000-0100-0000BD030000}">
      <text>
        <r>
          <rPr>
            <sz val="11"/>
            <color theme="1"/>
            <rFont val="Calibri"/>
            <family val="2"/>
            <scheme val="minor"/>
          </rPr>
          <t>Introducir un texto con el nombre o referencia de la contratación</t>
        </r>
      </text>
    </comment>
    <comment ref="B1028" authorId="2" shapeId="0" xr:uid="{00000000-0006-0000-0100-0000BE030000}">
      <text>
        <r>
          <rPr>
            <sz val="11"/>
            <color theme="1"/>
            <rFont val="Calibri"/>
            <family val="2"/>
            <scheme val="minor"/>
          </rPr>
          <t>Introduzca un texto con la finalidad de la contratación</t>
        </r>
      </text>
    </comment>
    <comment ref="C1028" authorId="2" shapeId="0" xr:uid="{00000000-0006-0000-0100-0000BF030000}">
      <text>
        <r>
          <rPr>
            <sz val="11"/>
            <color theme="1"/>
            <rFont val="Calibri"/>
            <family val="2"/>
            <scheme val="minor"/>
          </rPr>
          <t>Seleccionar un valor del listado</t>
        </r>
      </text>
    </comment>
    <comment ref="D1028" authorId="2" shapeId="0" xr:uid="{00000000-0006-0000-0100-0000C0030000}">
      <text>
        <r>
          <rPr>
            <sz val="11"/>
            <color theme="1"/>
            <rFont val="Calibri"/>
            <family val="2"/>
            <scheme val="minor"/>
          </rPr>
          <t>Seleccione el tipo de procedimiento</t>
        </r>
      </text>
    </comment>
    <comment ref="E1028" authorId="2" shapeId="0" xr:uid="{00000000-0006-0000-0100-0000C1030000}">
      <text>
        <r>
          <rPr>
            <sz val="11"/>
            <color theme="1"/>
            <rFont val="Calibri"/>
            <family val="2"/>
            <scheme val="minor"/>
          </rPr>
          <t>Seleccione un valor de la lista</t>
        </r>
      </text>
    </comment>
    <comment ref="F1028" authorId="2" shapeId="0" xr:uid="{00000000-0006-0000-0100-0000C2030000}">
      <text>
        <r>
          <rPr>
            <sz val="11"/>
            <color theme="1"/>
            <rFont val="Calibri"/>
            <family val="2"/>
            <scheme val="minor"/>
          </rPr>
          <t>Introduzca el código SNIP</t>
        </r>
      </text>
    </comment>
    <comment ref="C1029" authorId="2" shapeId="0" xr:uid="{00000000-0006-0000-0100-0000C3030000}">
      <text>
        <r>
          <rPr>
            <sz val="11"/>
            <color theme="1"/>
            <rFont val="Calibri"/>
            <family val="2"/>
            <scheme val="minor"/>
          </rPr>
          <t>Introduzca la fecha de inicio del proceso, en formato dd-mm-aaaa</t>
        </r>
      </text>
    </comment>
    <comment ref="F1029"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xr:uid="{00000000-0006-0000-0100-0000C5030000}">
      <text/>
    </comment>
    <comment ref="C1031" authorId="2" shapeId="0" xr:uid="{00000000-0006-0000-0100-0000C6030000}">
      <text>
        <r>
          <rPr>
            <sz val="11"/>
            <color theme="1"/>
            <rFont val="Calibri"/>
            <family val="2"/>
            <scheme val="minor"/>
          </rPr>
          <t>Introduzca la fecha prevista de adjudicación, en formato dd-mm-aaaa</t>
        </r>
      </text>
    </comment>
    <comment ref="F1031" authorId="2" shapeId="0" xr:uid="{00000000-0006-0000-0100-0000C7030000}">
      <text/>
    </comment>
    <comment ref="F1032" authorId="2" shapeId="0" xr:uid="{00000000-0006-0000-0100-0000C8030000}">
      <text/>
    </comment>
    <comment ref="A1034" authorId="2" shapeId="0" xr:uid="{00000000-0006-0000-0100-0000C9030000}">
      <text>
        <r>
          <rPr>
            <sz val="11"/>
            <color theme="1"/>
            <rFont val="Calibri"/>
            <family val="2"/>
            <scheme val="minor"/>
          </rPr>
          <t>Introduzca un codigo UNSPSC</t>
        </r>
      </text>
    </comment>
    <comment ref="B1034" authorId="2" shapeId="0" xr:uid="{00000000-0006-0000-0100-0000CA030000}">
      <text>
        <r>
          <rPr>
            <sz val="11"/>
            <color theme="1"/>
            <rFont val="Calibri"/>
            <family val="2"/>
            <scheme val="minor"/>
          </rPr>
          <t>Descripción calculada automáticamente a partir de código del artículo</t>
        </r>
      </text>
    </comment>
    <comment ref="C1034" authorId="2" shapeId="0" xr:uid="{00000000-0006-0000-0100-0000CB030000}">
      <text>
        <r>
          <rPr>
            <sz val="11"/>
            <color theme="1"/>
            <rFont val="Calibri"/>
            <family val="2"/>
            <scheme val="minor"/>
          </rPr>
          <t>Seleccione un valor de la lista</t>
        </r>
      </text>
    </comment>
    <comment ref="D1034" authorId="2" shapeId="0" xr:uid="{00000000-0006-0000-0100-0000CC030000}">
      <text>
        <r>
          <rPr>
            <sz val="11"/>
            <color theme="1"/>
            <rFont val="Calibri"/>
            <family val="2"/>
            <scheme val="minor"/>
          </rPr>
          <t>Introduzca un número con dos decimales como máximo. Debe ser igual o mayor a la "Cantidad Real Consumida"</t>
        </r>
      </text>
    </comment>
    <comment ref="E1034" authorId="2" shapeId="0" xr:uid="{00000000-0006-0000-0100-0000CD030000}">
      <text>
        <r>
          <rPr>
            <sz val="11"/>
            <color theme="1"/>
            <rFont val="Calibri"/>
            <family val="2"/>
            <scheme val="minor"/>
          </rPr>
          <t>Introduzca un número con dos decimales como máximo</t>
        </r>
      </text>
    </comment>
    <comment ref="F1034" authorId="2" shapeId="0" xr:uid="{00000000-0006-0000-0100-0000CE030000}">
      <text>
        <r>
          <rPr>
            <sz val="11"/>
            <color theme="1"/>
            <rFont val="Calibri"/>
            <family val="2"/>
            <scheme val="minor"/>
          </rPr>
          <t>Monto calculado automáticamente por el sistema</t>
        </r>
      </text>
    </comment>
    <comment ref="A1048" authorId="2" shapeId="0" xr:uid="{00000000-0006-0000-0100-0000CF030000}">
      <text>
        <r>
          <rPr>
            <sz val="11"/>
            <color theme="1"/>
            <rFont val="Calibri"/>
            <family val="2"/>
            <scheme val="minor"/>
          </rPr>
          <t>Introducir un texto con el nombre o referencia de la contratación</t>
        </r>
      </text>
    </comment>
    <comment ref="B1048" authorId="2" shapeId="0" xr:uid="{00000000-0006-0000-0100-0000D0030000}">
      <text>
        <r>
          <rPr>
            <sz val="11"/>
            <color theme="1"/>
            <rFont val="Calibri"/>
            <family val="2"/>
            <scheme val="minor"/>
          </rPr>
          <t>Introduzca un texto con la finalidad de la contratación</t>
        </r>
      </text>
    </comment>
    <comment ref="C1048" authorId="2" shapeId="0" xr:uid="{00000000-0006-0000-0100-0000D1030000}">
      <text>
        <r>
          <rPr>
            <sz val="11"/>
            <color theme="1"/>
            <rFont val="Calibri"/>
            <family val="2"/>
            <scheme val="minor"/>
          </rPr>
          <t>Seleccionar un valor del listado</t>
        </r>
      </text>
    </comment>
    <comment ref="D1048" authorId="2" shapeId="0" xr:uid="{00000000-0006-0000-0100-0000D2030000}">
      <text>
        <r>
          <rPr>
            <sz val="11"/>
            <color theme="1"/>
            <rFont val="Calibri"/>
            <family val="2"/>
            <scheme val="minor"/>
          </rPr>
          <t>Seleccione el tipo de procedimiento</t>
        </r>
      </text>
    </comment>
    <comment ref="E1048" authorId="2" shapeId="0" xr:uid="{00000000-0006-0000-0100-0000D3030000}">
      <text>
        <r>
          <rPr>
            <sz val="11"/>
            <color theme="1"/>
            <rFont val="Calibri"/>
            <family val="2"/>
            <scheme val="minor"/>
          </rPr>
          <t>Seleccione un valor de la lista</t>
        </r>
      </text>
    </comment>
    <comment ref="F1048" authorId="2" shapeId="0" xr:uid="{00000000-0006-0000-0100-0000D4030000}">
      <text>
        <r>
          <rPr>
            <sz val="11"/>
            <color theme="1"/>
            <rFont val="Calibri"/>
            <family val="2"/>
            <scheme val="minor"/>
          </rPr>
          <t>Introduzca el código SNIP</t>
        </r>
      </text>
    </comment>
    <comment ref="C1049" authorId="2" shapeId="0" xr:uid="{00000000-0006-0000-0100-0000D5030000}">
      <text>
        <r>
          <rPr>
            <sz val="11"/>
            <color theme="1"/>
            <rFont val="Calibri"/>
            <family val="2"/>
            <scheme val="minor"/>
          </rPr>
          <t>Introduzca la fecha de inicio del proceso, en formato dd-mm-aaaa</t>
        </r>
      </text>
    </comment>
    <comment ref="F1049"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2" shapeId="0" xr:uid="{00000000-0006-0000-0100-0000D7030000}">
      <text/>
    </comment>
    <comment ref="C1051" authorId="2" shapeId="0" xr:uid="{00000000-0006-0000-0100-0000D8030000}">
      <text>
        <r>
          <rPr>
            <sz val="11"/>
            <color theme="1"/>
            <rFont val="Calibri"/>
            <family val="2"/>
            <scheme val="minor"/>
          </rPr>
          <t>Introduzca la fecha prevista de adjudicación, en formato dd-mm-aaaa</t>
        </r>
      </text>
    </comment>
    <comment ref="F1051" authorId="2" shapeId="0" xr:uid="{00000000-0006-0000-0100-0000D9030000}">
      <text/>
    </comment>
    <comment ref="F1052" authorId="2" shapeId="0" xr:uid="{00000000-0006-0000-0100-0000DA030000}">
      <text/>
    </comment>
    <comment ref="A1054" authorId="2" shapeId="0" xr:uid="{00000000-0006-0000-0100-0000DB030000}">
      <text>
        <r>
          <rPr>
            <sz val="11"/>
            <color theme="1"/>
            <rFont val="Calibri"/>
            <family val="2"/>
            <scheme val="minor"/>
          </rPr>
          <t>Introduzca un codigo UNSPSC</t>
        </r>
      </text>
    </comment>
    <comment ref="B1054" authorId="2" shapeId="0" xr:uid="{00000000-0006-0000-0100-0000DC030000}">
      <text>
        <r>
          <rPr>
            <sz val="11"/>
            <color theme="1"/>
            <rFont val="Calibri"/>
            <family val="2"/>
            <scheme val="minor"/>
          </rPr>
          <t>Descripción calculada automáticamente a partir de código del artículo</t>
        </r>
      </text>
    </comment>
    <comment ref="C1054" authorId="2" shapeId="0" xr:uid="{00000000-0006-0000-0100-0000DD030000}">
      <text>
        <r>
          <rPr>
            <sz val="11"/>
            <color theme="1"/>
            <rFont val="Calibri"/>
            <family val="2"/>
            <scheme val="minor"/>
          </rPr>
          <t>Seleccione un valor de la lista</t>
        </r>
      </text>
    </comment>
    <comment ref="D1054" authorId="2" shapeId="0" xr:uid="{00000000-0006-0000-0100-0000DE030000}">
      <text>
        <r>
          <rPr>
            <sz val="11"/>
            <color theme="1"/>
            <rFont val="Calibri"/>
            <family val="2"/>
            <scheme val="minor"/>
          </rPr>
          <t>Introduzca un número con dos decimales como máximo. Debe ser igual o mayor a la "Cantidad Real Consumida"</t>
        </r>
      </text>
    </comment>
    <comment ref="E1054" authorId="2" shapeId="0" xr:uid="{00000000-0006-0000-0100-0000DF030000}">
      <text>
        <r>
          <rPr>
            <sz val="11"/>
            <color theme="1"/>
            <rFont val="Calibri"/>
            <family val="2"/>
            <scheme val="minor"/>
          </rPr>
          <t>Introduzca un número con dos decimales como máximo</t>
        </r>
      </text>
    </comment>
    <comment ref="F1054" authorId="2" shapeId="0" xr:uid="{00000000-0006-0000-0100-0000E0030000}">
      <text>
        <r>
          <rPr>
            <sz val="11"/>
            <color theme="1"/>
            <rFont val="Calibri"/>
            <family val="2"/>
            <scheme val="minor"/>
          </rPr>
          <t>Monto calculado automáticamente por el sistema</t>
        </r>
      </text>
    </comment>
    <comment ref="A1073" authorId="2" shapeId="0" xr:uid="{00000000-0006-0000-0100-0000E1030000}">
      <text>
        <r>
          <rPr>
            <sz val="11"/>
            <color theme="1"/>
            <rFont val="Calibri"/>
            <family val="2"/>
            <scheme val="minor"/>
          </rPr>
          <t>Introducir un texto con el nombre o referencia de la contratación</t>
        </r>
      </text>
    </comment>
    <comment ref="B1073" authorId="2" shapeId="0" xr:uid="{00000000-0006-0000-0100-0000E2030000}">
      <text>
        <r>
          <rPr>
            <sz val="11"/>
            <color theme="1"/>
            <rFont val="Calibri"/>
            <family val="2"/>
            <scheme val="minor"/>
          </rPr>
          <t>Introduzca un texto con la finalidad de la contratación</t>
        </r>
      </text>
    </comment>
    <comment ref="C1073" authorId="2" shapeId="0" xr:uid="{00000000-0006-0000-0100-0000E3030000}">
      <text>
        <r>
          <rPr>
            <sz val="11"/>
            <color theme="1"/>
            <rFont val="Calibri"/>
            <family val="2"/>
            <scheme val="minor"/>
          </rPr>
          <t>Seleccionar un valor del listado</t>
        </r>
      </text>
    </comment>
    <comment ref="D1073" authorId="2" shapeId="0" xr:uid="{00000000-0006-0000-0100-0000E4030000}">
      <text>
        <r>
          <rPr>
            <sz val="11"/>
            <color theme="1"/>
            <rFont val="Calibri"/>
            <family val="2"/>
            <scheme val="minor"/>
          </rPr>
          <t>Seleccione el tipo de procedimiento</t>
        </r>
      </text>
    </comment>
    <comment ref="E1073" authorId="2" shapeId="0" xr:uid="{00000000-0006-0000-0100-0000E5030000}">
      <text>
        <r>
          <rPr>
            <sz val="11"/>
            <color theme="1"/>
            <rFont val="Calibri"/>
            <family val="2"/>
            <scheme val="minor"/>
          </rPr>
          <t>Seleccione un valor de la lista</t>
        </r>
      </text>
    </comment>
    <comment ref="F1073" authorId="2" shapeId="0" xr:uid="{00000000-0006-0000-0100-0000E6030000}">
      <text>
        <r>
          <rPr>
            <sz val="11"/>
            <color theme="1"/>
            <rFont val="Calibri"/>
            <family val="2"/>
            <scheme val="minor"/>
          </rPr>
          <t>Introduzca el código SNIP</t>
        </r>
      </text>
    </comment>
    <comment ref="C1074" authorId="2" shapeId="0" xr:uid="{00000000-0006-0000-0100-0000E7030000}">
      <text>
        <r>
          <rPr>
            <sz val="11"/>
            <color theme="1"/>
            <rFont val="Calibri"/>
            <family val="2"/>
            <scheme val="minor"/>
          </rPr>
          <t>Introduzca la fecha de inicio del proceso, en formato dd-mm-aaaa</t>
        </r>
      </text>
    </comment>
    <comment ref="F1074"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xr:uid="{00000000-0006-0000-0100-0000E9030000}">
      <text/>
    </comment>
    <comment ref="C1076" authorId="2" shapeId="0" xr:uid="{00000000-0006-0000-0100-0000EA030000}">
      <text>
        <r>
          <rPr>
            <sz val="11"/>
            <color theme="1"/>
            <rFont val="Calibri"/>
            <family val="2"/>
            <scheme val="minor"/>
          </rPr>
          <t>Introduzca la fecha prevista de adjudicación, en formato dd-mm-aaaa</t>
        </r>
      </text>
    </comment>
    <comment ref="F1076" authorId="2" shapeId="0" xr:uid="{00000000-0006-0000-0100-0000EB030000}">
      <text/>
    </comment>
    <comment ref="F1077" authorId="2" shapeId="0" xr:uid="{00000000-0006-0000-0100-0000EC030000}">
      <text/>
    </comment>
    <comment ref="A1079" authorId="2" shapeId="0" xr:uid="{00000000-0006-0000-0100-0000ED030000}">
      <text>
        <r>
          <rPr>
            <sz val="11"/>
            <color theme="1"/>
            <rFont val="Calibri"/>
            <family val="2"/>
            <scheme val="minor"/>
          </rPr>
          <t>Introduzca un codigo UNSPSC</t>
        </r>
      </text>
    </comment>
    <comment ref="B1079" authorId="2" shapeId="0" xr:uid="{00000000-0006-0000-0100-0000EE030000}">
      <text>
        <r>
          <rPr>
            <sz val="11"/>
            <color theme="1"/>
            <rFont val="Calibri"/>
            <family val="2"/>
            <scheme val="minor"/>
          </rPr>
          <t>Descripción calculada automáticamente a partir de código del artículo</t>
        </r>
      </text>
    </comment>
    <comment ref="C1079" authorId="2" shapeId="0" xr:uid="{00000000-0006-0000-0100-0000EF030000}">
      <text>
        <r>
          <rPr>
            <sz val="11"/>
            <color theme="1"/>
            <rFont val="Calibri"/>
            <family val="2"/>
            <scheme val="minor"/>
          </rPr>
          <t>Seleccione un valor de la lista</t>
        </r>
      </text>
    </comment>
    <comment ref="D1079" authorId="2" shapeId="0" xr:uid="{00000000-0006-0000-0100-0000F0030000}">
      <text>
        <r>
          <rPr>
            <sz val="11"/>
            <color theme="1"/>
            <rFont val="Calibri"/>
            <family val="2"/>
            <scheme val="minor"/>
          </rPr>
          <t>Introduzca un número con dos decimales como máximo. Debe ser igual o mayor a la "Cantidad Real Consumida"</t>
        </r>
      </text>
    </comment>
    <comment ref="E1079" authorId="2" shapeId="0" xr:uid="{00000000-0006-0000-0100-0000F1030000}">
      <text>
        <r>
          <rPr>
            <sz val="11"/>
            <color theme="1"/>
            <rFont val="Calibri"/>
            <family val="2"/>
            <scheme val="minor"/>
          </rPr>
          <t>Introduzca un número con dos decimales como máximo</t>
        </r>
      </text>
    </comment>
    <comment ref="F1079" authorId="2" shapeId="0" xr:uid="{00000000-0006-0000-0100-0000F2030000}">
      <text>
        <r>
          <rPr>
            <sz val="11"/>
            <color theme="1"/>
            <rFont val="Calibri"/>
            <family val="2"/>
            <scheme val="minor"/>
          </rPr>
          <t>Monto calculado automáticamente por el sistema</t>
        </r>
      </text>
    </comment>
    <comment ref="A1093" authorId="2" shapeId="0" xr:uid="{00000000-0006-0000-0100-0000F3030000}">
      <text>
        <r>
          <rPr>
            <sz val="11"/>
            <color theme="1"/>
            <rFont val="Calibri"/>
            <family val="2"/>
            <scheme val="minor"/>
          </rPr>
          <t>Introducir un texto con el nombre o referencia de la contratación</t>
        </r>
      </text>
    </comment>
    <comment ref="B1093" authorId="2" shapeId="0" xr:uid="{00000000-0006-0000-0100-0000F4030000}">
      <text>
        <r>
          <rPr>
            <sz val="11"/>
            <color theme="1"/>
            <rFont val="Calibri"/>
            <family val="2"/>
            <scheme val="minor"/>
          </rPr>
          <t>Introduzca un texto con la finalidad de la contratación</t>
        </r>
      </text>
    </comment>
    <comment ref="C1093" authorId="2" shapeId="0" xr:uid="{00000000-0006-0000-0100-0000F5030000}">
      <text>
        <r>
          <rPr>
            <sz val="11"/>
            <color theme="1"/>
            <rFont val="Calibri"/>
            <family val="2"/>
            <scheme val="minor"/>
          </rPr>
          <t>Seleccionar un valor del listado</t>
        </r>
      </text>
    </comment>
    <comment ref="D1093" authorId="2" shapeId="0" xr:uid="{00000000-0006-0000-0100-0000F6030000}">
      <text>
        <r>
          <rPr>
            <sz val="11"/>
            <color theme="1"/>
            <rFont val="Calibri"/>
            <family val="2"/>
            <scheme val="minor"/>
          </rPr>
          <t>Seleccione el tipo de procedimiento</t>
        </r>
      </text>
    </comment>
    <comment ref="E1093" authorId="2" shapeId="0" xr:uid="{00000000-0006-0000-0100-0000F7030000}">
      <text>
        <r>
          <rPr>
            <sz val="11"/>
            <color theme="1"/>
            <rFont val="Calibri"/>
            <family val="2"/>
            <scheme val="minor"/>
          </rPr>
          <t>Seleccione un valor de la lista</t>
        </r>
      </text>
    </comment>
    <comment ref="F1093" authorId="2" shapeId="0" xr:uid="{00000000-0006-0000-0100-0000F8030000}">
      <text>
        <r>
          <rPr>
            <sz val="11"/>
            <color theme="1"/>
            <rFont val="Calibri"/>
            <family val="2"/>
            <scheme val="minor"/>
          </rPr>
          <t>Introduzca el código SNIP</t>
        </r>
      </text>
    </comment>
    <comment ref="C1094" authorId="2" shapeId="0" xr:uid="{00000000-0006-0000-0100-0000F9030000}">
      <text>
        <r>
          <rPr>
            <sz val="11"/>
            <color theme="1"/>
            <rFont val="Calibri"/>
            <family val="2"/>
            <scheme val="minor"/>
          </rPr>
          <t>Introduzca la fecha de inicio del proceso, en formato dd-mm-aaaa</t>
        </r>
      </text>
    </comment>
    <comment ref="F1094"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5" authorId="2" shapeId="0" xr:uid="{00000000-0006-0000-0100-0000FB030000}">
      <text/>
    </comment>
    <comment ref="C1096" authorId="2" shapeId="0" xr:uid="{00000000-0006-0000-0100-0000FC030000}">
      <text>
        <r>
          <rPr>
            <sz val="11"/>
            <color theme="1"/>
            <rFont val="Calibri"/>
            <family val="2"/>
            <scheme val="minor"/>
          </rPr>
          <t>Introduzca la fecha prevista de adjudicación, en formato dd-mm-aaaa</t>
        </r>
      </text>
    </comment>
    <comment ref="F1096" authorId="2" shapeId="0" xr:uid="{00000000-0006-0000-0100-0000FD030000}">
      <text/>
    </comment>
    <comment ref="F1097" authorId="2" shapeId="0" xr:uid="{00000000-0006-0000-0100-0000FE030000}">
      <text/>
    </comment>
    <comment ref="A1099" authorId="2" shapeId="0" xr:uid="{00000000-0006-0000-0100-0000FF030000}">
      <text>
        <r>
          <rPr>
            <sz val="11"/>
            <color theme="1"/>
            <rFont val="Calibri"/>
            <family val="2"/>
            <scheme val="minor"/>
          </rPr>
          <t>Introduzca un codigo UNSPSC</t>
        </r>
      </text>
    </comment>
    <comment ref="B1099" authorId="2" shapeId="0" xr:uid="{00000000-0006-0000-0100-000000040000}">
      <text>
        <r>
          <rPr>
            <sz val="11"/>
            <color theme="1"/>
            <rFont val="Calibri"/>
            <family val="2"/>
            <scheme val="minor"/>
          </rPr>
          <t>Descripción calculada automáticamente a partir de código del artículo</t>
        </r>
      </text>
    </comment>
    <comment ref="C1099" authorId="2" shapeId="0" xr:uid="{00000000-0006-0000-0100-000001040000}">
      <text>
        <r>
          <rPr>
            <sz val="11"/>
            <color theme="1"/>
            <rFont val="Calibri"/>
            <family val="2"/>
            <scheme val="minor"/>
          </rPr>
          <t>Seleccione un valor de la lista</t>
        </r>
      </text>
    </comment>
    <comment ref="D1099" authorId="2" shapeId="0" xr:uid="{00000000-0006-0000-0100-000002040000}">
      <text>
        <r>
          <rPr>
            <sz val="11"/>
            <color theme="1"/>
            <rFont val="Calibri"/>
            <family val="2"/>
            <scheme val="minor"/>
          </rPr>
          <t>Introduzca un número con dos decimales como máximo. Debe ser igual o mayor a la "Cantidad Real Consumida"</t>
        </r>
      </text>
    </comment>
    <comment ref="E1099" authorId="2" shapeId="0" xr:uid="{00000000-0006-0000-0100-000003040000}">
      <text>
        <r>
          <rPr>
            <sz val="11"/>
            <color theme="1"/>
            <rFont val="Calibri"/>
            <family val="2"/>
            <scheme val="minor"/>
          </rPr>
          <t>Introduzca un número con dos decimales como máximo</t>
        </r>
      </text>
    </comment>
    <comment ref="F1099" authorId="2" shapeId="0" xr:uid="{00000000-0006-0000-0100-000004040000}">
      <text>
        <r>
          <rPr>
            <sz val="11"/>
            <color theme="1"/>
            <rFont val="Calibri"/>
            <family val="2"/>
            <scheme val="minor"/>
          </rPr>
          <t>Monto calculado automáticamente por el sistema</t>
        </r>
      </text>
    </comment>
    <comment ref="A1105" authorId="2" shapeId="0" xr:uid="{00000000-0006-0000-0100-000005040000}">
      <text>
        <r>
          <rPr>
            <sz val="11"/>
            <color theme="1"/>
            <rFont val="Calibri"/>
            <family val="2"/>
            <scheme val="minor"/>
          </rPr>
          <t>Introducir un texto con el nombre o referencia de la contratación</t>
        </r>
      </text>
    </comment>
    <comment ref="B1105" authorId="2" shapeId="0" xr:uid="{00000000-0006-0000-0100-000006040000}">
      <text>
        <r>
          <rPr>
            <sz val="11"/>
            <color theme="1"/>
            <rFont val="Calibri"/>
            <family val="2"/>
            <scheme val="minor"/>
          </rPr>
          <t>Introduzca un texto con la finalidad de la contratación</t>
        </r>
      </text>
    </comment>
    <comment ref="C1105" authorId="2" shapeId="0" xr:uid="{00000000-0006-0000-0100-000007040000}">
      <text>
        <r>
          <rPr>
            <sz val="11"/>
            <color theme="1"/>
            <rFont val="Calibri"/>
            <family val="2"/>
            <scheme val="minor"/>
          </rPr>
          <t>Seleccionar un valor del listado</t>
        </r>
      </text>
    </comment>
    <comment ref="D1105" authorId="2" shapeId="0" xr:uid="{00000000-0006-0000-0100-000008040000}">
      <text>
        <r>
          <rPr>
            <sz val="11"/>
            <color theme="1"/>
            <rFont val="Calibri"/>
            <family val="2"/>
            <scheme val="minor"/>
          </rPr>
          <t>Seleccione el tipo de procedimiento</t>
        </r>
      </text>
    </comment>
    <comment ref="E1105" authorId="2" shapeId="0" xr:uid="{00000000-0006-0000-0100-000009040000}">
      <text>
        <r>
          <rPr>
            <sz val="11"/>
            <color theme="1"/>
            <rFont val="Calibri"/>
            <family val="2"/>
            <scheme val="minor"/>
          </rPr>
          <t>Seleccione un valor de la lista</t>
        </r>
      </text>
    </comment>
    <comment ref="F1105" authorId="2" shapeId="0" xr:uid="{00000000-0006-0000-0100-00000A040000}">
      <text>
        <r>
          <rPr>
            <sz val="11"/>
            <color theme="1"/>
            <rFont val="Calibri"/>
            <family val="2"/>
            <scheme val="minor"/>
          </rPr>
          <t>Introduzca el código SNIP</t>
        </r>
      </text>
    </comment>
    <comment ref="C1106" authorId="2" shapeId="0" xr:uid="{00000000-0006-0000-0100-00000B040000}">
      <text>
        <r>
          <rPr>
            <sz val="11"/>
            <color theme="1"/>
            <rFont val="Calibri"/>
            <family val="2"/>
            <scheme val="minor"/>
          </rPr>
          <t>Introduzca la fecha de inicio del proceso, en formato dd-mm-aaaa</t>
        </r>
      </text>
    </comment>
    <comment ref="F1106"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xr:uid="{00000000-0006-0000-0100-00000D040000}">
      <text/>
    </comment>
    <comment ref="C1108" authorId="2" shapeId="0" xr:uid="{00000000-0006-0000-0100-00000E040000}">
      <text>
        <r>
          <rPr>
            <sz val="11"/>
            <color theme="1"/>
            <rFont val="Calibri"/>
            <family val="2"/>
            <scheme val="minor"/>
          </rPr>
          <t>Introduzca la fecha prevista de adjudicación, en formato dd-mm-aaaa</t>
        </r>
      </text>
    </comment>
    <comment ref="F1108" authorId="2" shapeId="0" xr:uid="{00000000-0006-0000-0100-00000F040000}">
      <text/>
    </comment>
    <comment ref="F1109" authorId="2" shapeId="0" xr:uid="{00000000-0006-0000-0100-000010040000}">
      <text/>
    </comment>
    <comment ref="A1111" authorId="2" shapeId="0" xr:uid="{00000000-0006-0000-0100-000011040000}">
      <text>
        <r>
          <rPr>
            <sz val="11"/>
            <color theme="1"/>
            <rFont val="Calibri"/>
            <family val="2"/>
            <scheme val="minor"/>
          </rPr>
          <t>Introduzca un codigo UNSPSC</t>
        </r>
      </text>
    </comment>
    <comment ref="B1111" authorId="2" shapeId="0" xr:uid="{00000000-0006-0000-0100-000012040000}">
      <text>
        <r>
          <rPr>
            <sz val="11"/>
            <color theme="1"/>
            <rFont val="Calibri"/>
            <family val="2"/>
            <scheme val="minor"/>
          </rPr>
          <t>Descripción calculada automáticamente a partir de código del artículo</t>
        </r>
      </text>
    </comment>
    <comment ref="C1111" authorId="2" shapeId="0" xr:uid="{00000000-0006-0000-0100-000013040000}">
      <text>
        <r>
          <rPr>
            <sz val="11"/>
            <color theme="1"/>
            <rFont val="Calibri"/>
            <family val="2"/>
            <scheme val="minor"/>
          </rPr>
          <t>Seleccione un valor de la lista</t>
        </r>
      </text>
    </comment>
    <comment ref="D1111" authorId="2" shapeId="0" xr:uid="{00000000-0006-0000-0100-000014040000}">
      <text>
        <r>
          <rPr>
            <sz val="11"/>
            <color theme="1"/>
            <rFont val="Calibri"/>
            <family val="2"/>
            <scheme val="minor"/>
          </rPr>
          <t>Introduzca un número con dos decimales como máximo. Debe ser igual o mayor a la "Cantidad Real Consumida"</t>
        </r>
      </text>
    </comment>
    <comment ref="E1111" authorId="2" shapeId="0" xr:uid="{00000000-0006-0000-0100-000015040000}">
      <text>
        <r>
          <rPr>
            <sz val="11"/>
            <color theme="1"/>
            <rFont val="Calibri"/>
            <family val="2"/>
            <scheme val="minor"/>
          </rPr>
          <t>Introduzca un número con dos decimales como máximo</t>
        </r>
      </text>
    </comment>
    <comment ref="F1111" authorId="2" shapeId="0" xr:uid="{00000000-0006-0000-0100-000016040000}">
      <text>
        <r>
          <rPr>
            <sz val="11"/>
            <color theme="1"/>
            <rFont val="Calibri"/>
            <family val="2"/>
            <scheme val="minor"/>
          </rPr>
          <t>Monto calculado automáticamente por el sistema</t>
        </r>
      </text>
    </comment>
    <comment ref="A1117" authorId="2" shapeId="0" xr:uid="{00000000-0006-0000-0100-000017040000}">
      <text>
        <r>
          <rPr>
            <sz val="11"/>
            <color theme="1"/>
            <rFont val="Calibri"/>
            <family val="2"/>
            <scheme val="minor"/>
          </rPr>
          <t>Introducir un texto con el nombre o referencia de la contratación</t>
        </r>
      </text>
    </comment>
    <comment ref="B1117" authorId="2" shapeId="0" xr:uid="{00000000-0006-0000-0100-000018040000}">
      <text>
        <r>
          <rPr>
            <sz val="11"/>
            <color theme="1"/>
            <rFont val="Calibri"/>
            <family val="2"/>
            <scheme val="minor"/>
          </rPr>
          <t>Introduzca un texto con la finalidad de la contratación</t>
        </r>
      </text>
    </comment>
    <comment ref="C1117" authorId="2" shapeId="0" xr:uid="{00000000-0006-0000-0100-000019040000}">
      <text>
        <r>
          <rPr>
            <sz val="11"/>
            <color theme="1"/>
            <rFont val="Calibri"/>
            <family val="2"/>
            <scheme val="minor"/>
          </rPr>
          <t>Seleccionar un valor del listado</t>
        </r>
      </text>
    </comment>
    <comment ref="D1117" authorId="2" shapeId="0" xr:uid="{00000000-0006-0000-0100-00001A040000}">
      <text>
        <r>
          <rPr>
            <sz val="11"/>
            <color theme="1"/>
            <rFont val="Calibri"/>
            <family val="2"/>
            <scheme val="minor"/>
          </rPr>
          <t>Seleccione el tipo de procedimiento</t>
        </r>
      </text>
    </comment>
    <comment ref="E1117" authorId="2" shapeId="0" xr:uid="{00000000-0006-0000-0100-00001B040000}">
      <text>
        <r>
          <rPr>
            <sz val="11"/>
            <color theme="1"/>
            <rFont val="Calibri"/>
            <family val="2"/>
            <scheme val="minor"/>
          </rPr>
          <t>Seleccione un valor de la lista</t>
        </r>
      </text>
    </comment>
    <comment ref="F1117" authorId="2" shapeId="0" xr:uid="{00000000-0006-0000-0100-00001C040000}">
      <text>
        <r>
          <rPr>
            <sz val="11"/>
            <color theme="1"/>
            <rFont val="Calibri"/>
            <family val="2"/>
            <scheme val="minor"/>
          </rPr>
          <t>Introduzca el código SNIP</t>
        </r>
      </text>
    </comment>
    <comment ref="C1118" authorId="2" shapeId="0" xr:uid="{00000000-0006-0000-0100-00001D040000}">
      <text>
        <r>
          <rPr>
            <sz val="11"/>
            <color theme="1"/>
            <rFont val="Calibri"/>
            <family val="2"/>
            <scheme val="minor"/>
          </rPr>
          <t>Introduzca la fecha de inicio del proceso, en formato dd-mm-aaaa</t>
        </r>
      </text>
    </comment>
    <comment ref="F1118"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2" shapeId="0" xr:uid="{00000000-0006-0000-0100-00001F040000}">
      <text/>
    </comment>
    <comment ref="C1120" authorId="2" shapeId="0" xr:uid="{00000000-0006-0000-0100-000020040000}">
      <text>
        <r>
          <rPr>
            <sz val="11"/>
            <color theme="1"/>
            <rFont val="Calibri"/>
            <family val="2"/>
            <scheme val="minor"/>
          </rPr>
          <t>Introduzca la fecha prevista de adjudicación, en formato dd-mm-aaaa</t>
        </r>
      </text>
    </comment>
    <comment ref="F1120" authorId="2" shapeId="0" xr:uid="{00000000-0006-0000-0100-000021040000}">
      <text/>
    </comment>
    <comment ref="F1121" authorId="2" shapeId="0" xr:uid="{00000000-0006-0000-0100-000022040000}">
      <text/>
    </comment>
    <comment ref="A1123" authorId="2" shapeId="0" xr:uid="{00000000-0006-0000-0100-000023040000}">
      <text>
        <r>
          <rPr>
            <sz val="11"/>
            <color theme="1"/>
            <rFont val="Calibri"/>
            <family val="2"/>
            <scheme val="minor"/>
          </rPr>
          <t>Introduzca un codigo UNSPSC</t>
        </r>
      </text>
    </comment>
    <comment ref="B1123" authorId="2" shapeId="0" xr:uid="{00000000-0006-0000-0100-000024040000}">
      <text>
        <r>
          <rPr>
            <sz val="11"/>
            <color theme="1"/>
            <rFont val="Calibri"/>
            <family val="2"/>
            <scheme val="minor"/>
          </rPr>
          <t>Descripción calculada automáticamente a partir de código del artículo</t>
        </r>
      </text>
    </comment>
    <comment ref="C1123" authorId="2" shapeId="0" xr:uid="{00000000-0006-0000-0100-000025040000}">
      <text>
        <r>
          <rPr>
            <sz val="11"/>
            <color theme="1"/>
            <rFont val="Calibri"/>
            <family val="2"/>
            <scheme val="minor"/>
          </rPr>
          <t>Seleccione un valor de la lista</t>
        </r>
      </text>
    </comment>
    <comment ref="D1123" authorId="2" shapeId="0" xr:uid="{00000000-0006-0000-0100-000026040000}">
      <text>
        <r>
          <rPr>
            <sz val="11"/>
            <color theme="1"/>
            <rFont val="Calibri"/>
            <family val="2"/>
            <scheme val="minor"/>
          </rPr>
          <t>Introduzca un número con dos decimales como máximo. Debe ser igual o mayor a la "Cantidad Real Consumida"</t>
        </r>
      </text>
    </comment>
    <comment ref="E1123" authorId="2" shapeId="0" xr:uid="{00000000-0006-0000-0100-000027040000}">
      <text>
        <r>
          <rPr>
            <sz val="11"/>
            <color theme="1"/>
            <rFont val="Calibri"/>
            <family val="2"/>
            <scheme val="minor"/>
          </rPr>
          <t>Introduzca un número con dos decimales como máximo</t>
        </r>
      </text>
    </comment>
    <comment ref="F1123" authorId="2" shapeId="0" xr:uid="{00000000-0006-0000-0100-000028040000}">
      <text>
        <r>
          <rPr>
            <sz val="11"/>
            <color theme="1"/>
            <rFont val="Calibri"/>
            <family val="2"/>
            <scheme val="minor"/>
          </rPr>
          <t>Monto calculado automáticamente por el sistema</t>
        </r>
      </text>
    </comment>
    <comment ref="A1129" authorId="2" shapeId="0" xr:uid="{00000000-0006-0000-0100-000029040000}">
      <text>
        <r>
          <rPr>
            <sz val="11"/>
            <color theme="1"/>
            <rFont val="Calibri"/>
            <family val="2"/>
            <scheme val="minor"/>
          </rPr>
          <t>Introducir un texto con el nombre o referencia de la contratación</t>
        </r>
      </text>
    </comment>
    <comment ref="B1129" authorId="2" shapeId="0" xr:uid="{00000000-0006-0000-0100-00002A040000}">
      <text>
        <r>
          <rPr>
            <sz val="11"/>
            <color theme="1"/>
            <rFont val="Calibri"/>
            <family val="2"/>
            <scheme val="minor"/>
          </rPr>
          <t>Introduzca un texto con la finalidad de la contratación</t>
        </r>
      </text>
    </comment>
    <comment ref="C1129" authorId="2" shapeId="0" xr:uid="{00000000-0006-0000-0100-00002B040000}">
      <text>
        <r>
          <rPr>
            <sz val="11"/>
            <color theme="1"/>
            <rFont val="Calibri"/>
            <family val="2"/>
            <scheme val="minor"/>
          </rPr>
          <t>Seleccionar un valor del listado</t>
        </r>
      </text>
    </comment>
    <comment ref="D1129" authorId="2" shapeId="0" xr:uid="{00000000-0006-0000-0100-00002C040000}">
      <text>
        <r>
          <rPr>
            <sz val="11"/>
            <color theme="1"/>
            <rFont val="Calibri"/>
            <family val="2"/>
            <scheme val="minor"/>
          </rPr>
          <t>Seleccione el tipo de procedimiento</t>
        </r>
      </text>
    </comment>
    <comment ref="E1129" authorId="2" shapeId="0" xr:uid="{00000000-0006-0000-0100-00002D040000}">
      <text>
        <r>
          <rPr>
            <sz val="11"/>
            <color theme="1"/>
            <rFont val="Calibri"/>
            <family val="2"/>
            <scheme val="minor"/>
          </rPr>
          <t>Seleccione un valor de la lista</t>
        </r>
      </text>
    </comment>
    <comment ref="F1129" authorId="2" shapeId="0" xr:uid="{00000000-0006-0000-0100-00002E040000}">
      <text>
        <r>
          <rPr>
            <sz val="11"/>
            <color theme="1"/>
            <rFont val="Calibri"/>
            <family val="2"/>
            <scheme val="minor"/>
          </rPr>
          <t>Introduzca el código SNIP</t>
        </r>
      </text>
    </comment>
    <comment ref="C1130" authorId="2" shapeId="0" xr:uid="{00000000-0006-0000-0100-00002F040000}">
      <text>
        <r>
          <rPr>
            <sz val="11"/>
            <color theme="1"/>
            <rFont val="Calibri"/>
            <family val="2"/>
            <scheme val="minor"/>
          </rPr>
          <t>Introduzca la fecha de inicio del proceso, en formato dd-mm-aaaa</t>
        </r>
      </text>
    </comment>
    <comment ref="F1130"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2" shapeId="0" xr:uid="{00000000-0006-0000-0100-000031040000}">
      <text/>
    </comment>
    <comment ref="C1132" authorId="2" shapeId="0" xr:uid="{00000000-0006-0000-0100-000032040000}">
      <text>
        <r>
          <rPr>
            <sz val="11"/>
            <color theme="1"/>
            <rFont val="Calibri"/>
            <family val="2"/>
            <scheme val="minor"/>
          </rPr>
          <t>Introduzca la fecha prevista de adjudicación, en formato dd-mm-aaaa</t>
        </r>
      </text>
    </comment>
    <comment ref="F1132" authorId="2" shapeId="0" xr:uid="{00000000-0006-0000-0100-000033040000}">
      <text/>
    </comment>
    <comment ref="F1133" authorId="2" shapeId="0" xr:uid="{00000000-0006-0000-0100-000034040000}">
      <text/>
    </comment>
    <comment ref="A1135" authorId="2" shapeId="0" xr:uid="{00000000-0006-0000-0100-000035040000}">
      <text>
        <r>
          <rPr>
            <sz val="11"/>
            <color theme="1"/>
            <rFont val="Calibri"/>
            <family val="2"/>
            <scheme val="minor"/>
          </rPr>
          <t>Introduzca un codigo UNSPSC</t>
        </r>
      </text>
    </comment>
    <comment ref="B1135" authorId="2" shapeId="0" xr:uid="{00000000-0006-0000-0100-000036040000}">
      <text>
        <r>
          <rPr>
            <sz val="11"/>
            <color theme="1"/>
            <rFont val="Calibri"/>
            <family val="2"/>
            <scheme val="minor"/>
          </rPr>
          <t>Descripción calculada automáticamente a partir de código del artículo</t>
        </r>
      </text>
    </comment>
    <comment ref="C1135" authorId="2" shapeId="0" xr:uid="{00000000-0006-0000-0100-000037040000}">
      <text>
        <r>
          <rPr>
            <sz val="11"/>
            <color theme="1"/>
            <rFont val="Calibri"/>
            <family val="2"/>
            <scheme val="minor"/>
          </rPr>
          <t>Seleccione un valor de la lista</t>
        </r>
      </text>
    </comment>
    <comment ref="D1135" authorId="2" shapeId="0" xr:uid="{00000000-0006-0000-0100-000038040000}">
      <text>
        <r>
          <rPr>
            <sz val="11"/>
            <color theme="1"/>
            <rFont val="Calibri"/>
            <family val="2"/>
            <scheme val="minor"/>
          </rPr>
          <t>Introduzca un número con dos decimales como máximo. Debe ser igual o mayor a la "Cantidad Real Consumida"</t>
        </r>
      </text>
    </comment>
    <comment ref="E1135" authorId="2" shapeId="0" xr:uid="{00000000-0006-0000-0100-000039040000}">
      <text>
        <r>
          <rPr>
            <sz val="11"/>
            <color theme="1"/>
            <rFont val="Calibri"/>
            <family val="2"/>
            <scheme val="minor"/>
          </rPr>
          <t>Introduzca un número con dos decimales como máximo</t>
        </r>
      </text>
    </comment>
    <comment ref="F1135" authorId="2" shapeId="0" xr:uid="{00000000-0006-0000-0100-00003A040000}">
      <text>
        <r>
          <rPr>
            <sz val="11"/>
            <color theme="1"/>
            <rFont val="Calibri"/>
            <family val="2"/>
            <scheme val="minor"/>
          </rPr>
          <t>Monto calculado automáticamente por el sistema</t>
        </r>
      </text>
    </comment>
    <comment ref="A1142" authorId="2" shapeId="0" xr:uid="{00000000-0006-0000-0100-00003B040000}">
      <text>
        <r>
          <rPr>
            <sz val="11"/>
            <color theme="1"/>
            <rFont val="Calibri"/>
            <family val="2"/>
            <scheme val="minor"/>
          </rPr>
          <t>Introducir un texto con el nombre o referencia de la contratación</t>
        </r>
      </text>
    </comment>
    <comment ref="B1142" authorId="2" shapeId="0" xr:uid="{00000000-0006-0000-0100-00003C040000}">
      <text>
        <r>
          <rPr>
            <sz val="11"/>
            <color theme="1"/>
            <rFont val="Calibri"/>
            <family val="2"/>
            <scheme val="minor"/>
          </rPr>
          <t>Introduzca un texto con la finalidad de la contratación</t>
        </r>
      </text>
    </comment>
    <comment ref="C1142" authorId="2" shapeId="0" xr:uid="{00000000-0006-0000-0100-00003D040000}">
      <text>
        <r>
          <rPr>
            <sz val="11"/>
            <color theme="1"/>
            <rFont val="Calibri"/>
            <family val="2"/>
            <scheme val="minor"/>
          </rPr>
          <t>Seleccionar un valor del listado</t>
        </r>
      </text>
    </comment>
    <comment ref="D1142" authorId="2" shapeId="0" xr:uid="{00000000-0006-0000-0100-00003E040000}">
      <text>
        <r>
          <rPr>
            <sz val="11"/>
            <color theme="1"/>
            <rFont val="Calibri"/>
            <family val="2"/>
            <scheme val="minor"/>
          </rPr>
          <t>Seleccione el tipo de procedimiento</t>
        </r>
      </text>
    </comment>
    <comment ref="E1142" authorId="2" shapeId="0" xr:uid="{00000000-0006-0000-0100-00003F040000}">
      <text>
        <r>
          <rPr>
            <sz val="11"/>
            <color theme="1"/>
            <rFont val="Calibri"/>
            <family val="2"/>
            <scheme val="minor"/>
          </rPr>
          <t>Seleccione un valor de la lista</t>
        </r>
      </text>
    </comment>
    <comment ref="F1142" authorId="2" shapeId="0" xr:uid="{00000000-0006-0000-0100-000040040000}">
      <text>
        <r>
          <rPr>
            <sz val="11"/>
            <color theme="1"/>
            <rFont val="Calibri"/>
            <family val="2"/>
            <scheme val="minor"/>
          </rPr>
          <t>Introduzca el código SNIP</t>
        </r>
      </text>
    </comment>
    <comment ref="C1143" authorId="2" shapeId="0" xr:uid="{00000000-0006-0000-0100-000041040000}">
      <text>
        <r>
          <rPr>
            <sz val="11"/>
            <color theme="1"/>
            <rFont val="Calibri"/>
            <family val="2"/>
            <scheme val="minor"/>
          </rPr>
          <t>Introduzca la fecha de inicio del proceso, en formato dd-mm-aaaa</t>
        </r>
      </text>
    </comment>
    <comment ref="F1143"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2" shapeId="0" xr:uid="{00000000-0006-0000-0100-000043040000}">
      <text/>
    </comment>
    <comment ref="C1145" authorId="2" shapeId="0" xr:uid="{00000000-0006-0000-0100-000044040000}">
      <text>
        <r>
          <rPr>
            <sz val="11"/>
            <color theme="1"/>
            <rFont val="Calibri"/>
            <family val="2"/>
            <scheme val="minor"/>
          </rPr>
          <t>Introduzca la fecha prevista de adjudicación, en formato dd-mm-aaaa</t>
        </r>
      </text>
    </comment>
    <comment ref="F1145" authorId="2" shapeId="0" xr:uid="{00000000-0006-0000-0100-000045040000}">
      <text/>
    </comment>
    <comment ref="F1146" authorId="2" shapeId="0" xr:uid="{00000000-0006-0000-0100-000046040000}">
      <text/>
    </comment>
    <comment ref="A1148" authorId="2" shapeId="0" xr:uid="{00000000-0006-0000-0100-000047040000}">
      <text>
        <r>
          <rPr>
            <sz val="11"/>
            <color theme="1"/>
            <rFont val="Calibri"/>
            <family val="2"/>
            <scheme val="minor"/>
          </rPr>
          <t>Introduzca un codigo UNSPSC</t>
        </r>
      </text>
    </comment>
    <comment ref="B1148" authorId="2" shapeId="0" xr:uid="{00000000-0006-0000-0100-000048040000}">
      <text>
        <r>
          <rPr>
            <sz val="11"/>
            <color theme="1"/>
            <rFont val="Calibri"/>
            <family val="2"/>
            <scheme val="minor"/>
          </rPr>
          <t>Descripción calculada automáticamente a partir de código del artículo</t>
        </r>
      </text>
    </comment>
    <comment ref="C1148" authorId="2" shapeId="0" xr:uid="{00000000-0006-0000-0100-000049040000}">
      <text>
        <r>
          <rPr>
            <sz val="11"/>
            <color theme="1"/>
            <rFont val="Calibri"/>
            <family val="2"/>
            <scheme val="minor"/>
          </rPr>
          <t>Seleccione un valor de la lista</t>
        </r>
      </text>
    </comment>
    <comment ref="D1148" authorId="2" shapeId="0" xr:uid="{00000000-0006-0000-0100-00004A040000}">
      <text>
        <r>
          <rPr>
            <sz val="11"/>
            <color theme="1"/>
            <rFont val="Calibri"/>
            <family val="2"/>
            <scheme val="minor"/>
          </rPr>
          <t>Introduzca un número con dos decimales como máximo. Debe ser igual o mayor a la "Cantidad Real Consumida"</t>
        </r>
      </text>
    </comment>
    <comment ref="E1148" authorId="2" shapeId="0" xr:uid="{00000000-0006-0000-0100-00004B040000}">
      <text>
        <r>
          <rPr>
            <sz val="11"/>
            <color theme="1"/>
            <rFont val="Calibri"/>
            <family val="2"/>
            <scheme val="minor"/>
          </rPr>
          <t>Introduzca un número con dos decimales como máximo</t>
        </r>
      </text>
    </comment>
    <comment ref="F1148" authorId="2" shapeId="0" xr:uid="{00000000-0006-0000-0100-00004C040000}">
      <text>
        <r>
          <rPr>
            <sz val="11"/>
            <color theme="1"/>
            <rFont val="Calibri"/>
            <family val="2"/>
            <scheme val="minor"/>
          </rPr>
          <t>Monto calculado automáticamente por el sistema</t>
        </r>
      </text>
    </comment>
    <comment ref="A1154" authorId="2" shapeId="0" xr:uid="{00000000-0006-0000-0100-00004D040000}">
      <text>
        <r>
          <rPr>
            <sz val="11"/>
            <color theme="1"/>
            <rFont val="Calibri"/>
            <family val="2"/>
            <scheme val="minor"/>
          </rPr>
          <t>Introducir un texto con el nombre o referencia de la contratación</t>
        </r>
      </text>
    </comment>
    <comment ref="B1154" authorId="2" shapeId="0" xr:uid="{00000000-0006-0000-0100-00004E040000}">
      <text>
        <r>
          <rPr>
            <sz val="11"/>
            <color theme="1"/>
            <rFont val="Calibri"/>
            <family val="2"/>
            <scheme val="minor"/>
          </rPr>
          <t>Introduzca un texto con la finalidad de la contratación</t>
        </r>
      </text>
    </comment>
    <comment ref="C1154" authorId="2" shapeId="0" xr:uid="{00000000-0006-0000-0100-00004F040000}">
      <text>
        <r>
          <rPr>
            <sz val="11"/>
            <color theme="1"/>
            <rFont val="Calibri"/>
            <family val="2"/>
            <scheme val="minor"/>
          </rPr>
          <t>Seleccionar un valor del listado</t>
        </r>
      </text>
    </comment>
    <comment ref="D1154" authorId="2" shapeId="0" xr:uid="{00000000-0006-0000-0100-000050040000}">
      <text>
        <r>
          <rPr>
            <sz val="11"/>
            <color theme="1"/>
            <rFont val="Calibri"/>
            <family val="2"/>
            <scheme val="minor"/>
          </rPr>
          <t>Seleccione el tipo de procedimiento</t>
        </r>
      </text>
    </comment>
    <comment ref="E1154" authorId="2" shapeId="0" xr:uid="{00000000-0006-0000-0100-000051040000}">
      <text>
        <r>
          <rPr>
            <sz val="11"/>
            <color theme="1"/>
            <rFont val="Calibri"/>
            <family val="2"/>
            <scheme val="minor"/>
          </rPr>
          <t>Seleccione un valor de la lista</t>
        </r>
      </text>
    </comment>
    <comment ref="F1154" authorId="2" shapeId="0" xr:uid="{00000000-0006-0000-0100-000052040000}">
      <text>
        <r>
          <rPr>
            <sz val="11"/>
            <color theme="1"/>
            <rFont val="Calibri"/>
            <family val="2"/>
            <scheme val="minor"/>
          </rPr>
          <t>Introduzca el código SNIP</t>
        </r>
      </text>
    </comment>
    <comment ref="C1155" authorId="2" shapeId="0" xr:uid="{00000000-0006-0000-0100-000053040000}">
      <text>
        <r>
          <rPr>
            <sz val="11"/>
            <color theme="1"/>
            <rFont val="Calibri"/>
            <family val="2"/>
            <scheme val="minor"/>
          </rPr>
          <t>Introduzca la fecha de inicio del proceso, en formato dd-mm-aaaa</t>
        </r>
      </text>
    </comment>
    <comment ref="F1155"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xr:uid="{00000000-0006-0000-0100-000055040000}">
      <text/>
    </comment>
    <comment ref="C1157" authorId="2" shapeId="0" xr:uid="{00000000-0006-0000-0100-000056040000}">
      <text>
        <r>
          <rPr>
            <sz val="11"/>
            <color theme="1"/>
            <rFont val="Calibri"/>
            <family val="2"/>
            <scheme val="minor"/>
          </rPr>
          <t>Introduzca la fecha prevista de adjudicación, en formato dd-mm-aaaa</t>
        </r>
      </text>
    </comment>
    <comment ref="F1157" authorId="2" shapeId="0" xr:uid="{00000000-0006-0000-0100-000057040000}">
      <text/>
    </comment>
    <comment ref="F1158" authorId="2" shapeId="0" xr:uid="{00000000-0006-0000-0100-000058040000}">
      <text/>
    </comment>
    <comment ref="A1160" authorId="2" shapeId="0" xr:uid="{00000000-0006-0000-0100-000059040000}">
      <text>
        <r>
          <rPr>
            <sz val="11"/>
            <color theme="1"/>
            <rFont val="Calibri"/>
            <family val="2"/>
            <scheme val="minor"/>
          </rPr>
          <t>Introduzca un codigo UNSPSC</t>
        </r>
      </text>
    </comment>
    <comment ref="B1160" authorId="2" shapeId="0" xr:uid="{00000000-0006-0000-0100-00005A040000}">
      <text>
        <r>
          <rPr>
            <sz val="11"/>
            <color theme="1"/>
            <rFont val="Calibri"/>
            <family val="2"/>
            <scheme val="minor"/>
          </rPr>
          <t>Descripción calculada automáticamente a partir de código del artículo</t>
        </r>
      </text>
    </comment>
    <comment ref="C1160" authorId="2" shapeId="0" xr:uid="{00000000-0006-0000-0100-00005B040000}">
      <text>
        <r>
          <rPr>
            <sz val="11"/>
            <color theme="1"/>
            <rFont val="Calibri"/>
            <family val="2"/>
            <scheme val="minor"/>
          </rPr>
          <t>Seleccione un valor de la lista</t>
        </r>
      </text>
    </comment>
    <comment ref="D1160" authorId="2" shapeId="0" xr:uid="{00000000-0006-0000-0100-00005C040000}">
      <text>
        <r>
          <rPr>
            <sz val="11"/>
            <color theme="1"/>
            <rFont val="Calibri"/>
            <family val="2"/>
            <scheme val="minor"/>
          </rPr>
          <t>Introduzca un número con dos decimales como máximo. Debe ser igual o mayor a la "Cantidad Real Consumida"</t>
        </r>
      </text>
    </comment>
    <comment ref="E1160" authorId="2" shapeId="0" xr:uid="{00000000-0006-0000-0100-00005D040000}">
      <text>
        <r>
          <rPr>
            <sz val="11"/>
            <color theme="1"/>
            <rFont val="Calibri"/>
            <family val="2"/>
            <scheme val="minor"/>
          </rPr>
          <t>Introduzca un número con dos decimales como máximo</t>
        </r>
      </text>
    </comment>
    <comment ref="F1160" authorId="2" shapeId="0" xr:uid="{00000000-0006-0000-0100-00005E040000}">
      <text>
        <r>
          <rPr>
            <sz val="11"/>
            <color theme="1"/>
            <rFont val="Calibri"/>
            <family val="2"/>
            <scheme val="minor"/>
          </rPr>
          <t>Monto calculado automáticamente por el sistema</t>
        </r>
      </text>
    </comment>
    <comment ref="A1166" authorId="2" shapeId="0" xr:uid="{00000000-0006-0000-0100-00005F040000}">
      <text>
        <r>
          <rPr>
            <sz val="11"/>
            <color theme="1"/>
            <rFont val="Calibri"/>
            <family val="2"/>
            <scheme val="minor"/>
          </rPr>
          <t>Introducir un texto con el nombre o referencia de la contratación</t>
        </r>
      </text>
    </comment>
    <comment ref="B1166" authorId="2" shapeId="0" xr:uid="{00000000-0006-0000-0100-000060040000}">
      <text>
        <r>
          <rPr>
            <sz val="11"/>
            <color theme="1"/>
            <rFont val="Calibri"/>
            <family val="2"/>
            <scheme val="minor"/>
          </rPr>
          <t>Introduzca un texto con la finalidad de la contratación</t>
        </r>
      </text>
    </comment>
    <comment ref="C1166" authorId="2" shapeId="0" xr:uid="{00000000-0006-0000-0100-000061040000}">
      <text>
        <r>
          <rPr>
            <sz val="11"/>
            <color theme="1"/>
            <rFont val="Calibri"/>
            <family val="2"/>
            <scheme val="minor"/>
          </rPr>
          <t>Seleccionar un valor del listado</t>
        </r>
      </text>
    </comment>
    <comment ref="D1166" authorId="2" shapeId="0" xr:uid="{00000000-0006-0000-0100-000062040000}">
      <text>
        <r>
          <rPr>
            <sz val="11"/>
            <color theme="1"/>
            <rFont val="Calibri"/>
            <family val="2"/>
            <scheme val="minor"/>
          </rPr>
          <t>Seleccione el tipo de procedimiento</t>
        </r>
      </text>
    </comment>
    <comment ref="E1166" authorId="2" shapeId="0" xr:uid="{00000000-0006-0000-0100-000063040000}">
      <text>
        <r>
          <rPr>
            <sz val="11"/>
            <color theme="1"/>
            <rFont val="Calibri"/>
            <family val="2"/>
            <scheme val="minor"/>
          </rPr>
          <t>Seleccione un valor de la lista</t>
        </r>
      </text>
    </comment>
    <comment ref="F1166" authorId="2" shapeId="0" xr:uid="{00000000-0006-0000-0100-000064040000}">
      <text>
        <r>
          <rPr>
            <sz val="11"/>
            <color theme="1"/>
            <rFont val="Calibri"/>
            <family val="2"/>
            <scheme val="minor"/>
          </rPr>
          <t>Introduzca el código SNIP</t>
        </r>
      </text>
    </comment>
    <comment ref="C1167" authorId="2" shapeId="0" xr:uid="{00000000-0006-0000-0100-000065040000}">
      <text>
        <r>
          <rPr>
            <sz val="11"/>
            <color theme="1"/>
            <rFont val="Calibri"/>
            <family val="2"/>
            <scheme val="minor"/>
          </rPr>
          <t>Introduzca la fecha de inicio del proceso, en formato dd-mm-aaaa</t>
        </r>
      </text>
    </comment>
    <comment ref="F1167"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2" shapeId="0" xr:uid="{00000000-0006-0000-0100-000067040000}">
      <text/>
    </comment>
    <comment ref="C1169" authorId="2" shapeId="0" xr:uid="{00000000-0006-0000-0100-000068040000}">
      <text>
        <r>
          <rPr>
            <sz val="11"/>
            <color theme="1"/>
            <rFont val="Calibri"/>
            <family val="2"/>
            <scheme val="minor"/>
          </rPr>
          <t>Introduzca la fecha prevista de adjudicación, en formato dd-mm-aaaa</t>
        </r>
      </text>
    </comment>
    <comment ref="F1169" authorId="2" shapeId="0" xr:uid="{00000000-0006-0000-0100-000069040000}">
      <text/>
    </comment>
    <comment ref="F1170" authorId="2" shapeId="0" xr:uid="{00000000-0006-0000-0100-00006A040000}">
      <text/>
    </comment>
    <comment ref="A1172" authorId="2" shapeId="0" xr:uid="{00000000-0006-0000-0100-00006B040000}">
      <text>
        <r>
          <rPr>
            <sz val="11"/>
            <color theme="1"/>
            <rFont val="Calibri"/>
            <family val="2"/>
            <scheme val="minor"/>
          </rPr>
          <t>Introduzca un codigo UNSPSC</t>
        </r>
      </text>
    </comment>
    <comment ref="B1172" authorId="2" shapeId="0" xr:uid="{00000000-0006-0000-0100-00006C040000}">
      <text>
        <r>
          <rPr>
            <sz val="11"/>
            <color theme="1"/>
            <rFont val="Calibri"/>
            <family val="2"/>
            <scheme val="minor"/>
          </rPr>
          <t>Descripción calculada automáticamente a partir de código del artículo</t>
        </r>
      </text>
    </comment>
    <comment ref="C1172" authorId="2" shapeId="0" xr:uid="{00000000-0006-0000-0100-00006D040000}">
      <text>
        <r>
          <rPr>
            <sz val="11"/>
            <color theme="1"/>
            <rFont val="Calibri"/>
            <family val="2"/>
            <scheme val="minor"/>
          </rPr>
          <t>Seleccione un valor de la lista</t>
        </r>
      </text>
    </comment>
    <comment ref="D1172" authorId="2" shapeId="0" xr:uid="{00000000-0006-0000-0100-00006E040000}">
      <text>
        <r>
          <rPr>
            <sz val="11"/>
            <color theme="1"/>
            <rFont val="Calibri"/>
            <family val="2"/>
            <scheme val="minor"/>
          </rPr>
          <t>Introduzca un número con dos decimales como máximo. Debe ser igual o mayor a la "Cantidad Real Consumida"</t>
        </r>
      </text>
    </comment>
    <comment ref="E1172" authorId="2" shapeId="0" xr:uid="{00000000-0006-0000-0100-00006F040000}">
      <text>
        <r>
          <rPr>
            <sz val="11"/>
            <color theme="1"/>
            <rFont val="Calibri"/>
            <family val="2"/>
            <scheme val="minor"/>
          </rPr>
          <t>Introduzca un número con dos decimales como máximo</t>
        </r>
      </text>
    </comment>
    <comment ref="F1172" authorId="2" shapeId="0" xr:uid="{00000000-0006-0000-0100-000070040000}">
      <text>
        <r>
          <rPr>
            <sz val="11"/>
            <color theme="1"/>
            <rFont val="Calibri"/>
            <family val="2"/>
            <scheme val="minor"/>
          </rPr>
          <t>Monto calculado automáticamente por el sistema</t>
        </r>
      </text>
    </comment>
    <comment ref="A1178" authorId="2" shapeId="0" xr:uid="{00000000-0006-0000-0100-000071040000}">
      <text>
        <r>
          <rPr>
            <sz val="11"/>
            <color theme="1"/>
            <rFont val="Calibri"/>
            <family val="2"/>
            <scheme val="minor"/>
          </rPr>
          <t>Introducir un texto con el nombre o referencia de la contratación</t>
        </r>
      </text>
    </comment>
    <comment ref="B1178" authorId="2" shapeId="0" xr:uid="{00000000-0006-0000-0100-000072040000}">
      <text>
        <r>
          <rPr>
            <sz val="11"/>
            <color theme="1"/>
            <rFont val="Calibri"/>
            <family val="2"/>
            <scheme val="minor"/>
          </rPr>
          <t>Introduzca un texto con la finalidad de la contratación</t>
        </r>
      </text>
    </comment>
    <comment ref="C1178" authorId="2" shapeId="0" xr:uid="{00000000-0006-0000-0100-000073040000}">
      <text>
        <r>
          <rPr>
            <sz val="11"/>
            <color theme="1"/>
            <rFont val="Calibri"/>
            <family val="2"/>
            <scheme val="minor"/>
          </rPr>
          <t>Seleccionar un valor del listado</t>
        </r>
      </text>
    </comment>
    <comment ref="D1178" authorId="2" shapeId="0" xr:uid="{00000000-0006-0000-0100-000074040000}">
      <text>
        <r>
          <rPr>
            <sz val="11"/>
            <color theme="1"/>
            <rFont val="Calibri"/>
            <family val="2"/>
            <scheme val="minor"/>
          </rPr>
          <t>Seleccione el tipo de procedimiento</t>
        </r>
      </text>
    </comment>
    <comment ref="E1178" authorId="2" shapeId="0" xr:uid="{00000000-0006-0000-0100-000075040000}">
      <text>
        <r>
          <rPr>
            <sz val="11"/>
            <color theme="1"/>
            <rFont val="Calibri"/>
            <family val="2"/>
            <scheme val="minor"/>
          </rPr>
          <t>Seleccione un valor de la lista</t>
        </r>
      </text>
    </comment>
    <comment ref="F1178" authorId="2" shapeId="0" xr:uid="{00000000-0006-0000-0100-000076040000}">
      <text>
        <r>
          <rPr>
            <sz val="11"/>
            <color theme="1"/>
            <rFont val="Calibri"/>
            <family val="2"/>
            <scheme val="minor"/>
          </rPr>
          <t>Introduzca el código SNIP</t>
        </r>
      </text>
    </comment>
    <comment ref="C1179" authorId="2" shapeId="0" xr:uid="{00000000-0006-0000-0100-000077040000}">
      <text>
        <r>
          <rPr>
            <sz val="11"/>
            <color theme="1"/>
            <rFont val="Calibri"/>
            <family val="2"/>
            <scheme val="minor"/>
          </rPr>
          <t>Introduzca la fecha de inicio del proceso, en formato dd-mm-aaaa</t>
        </r>
      </text>
    </comment>
    <comment ref="F1179"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2" shapeId="0" xr:uid="{00000000-0006-0000-0100-000079040000}">
      <text/>
    </comment>
    <comment ref="C1181" authorId="2" shapeId="0" xr:uid="{00000000-0006-0000-0100-00007A040000}">
      <text>
        <r>
          <rPr>
            <sz val="11"/>
            <color theme="1"/>
            <rFont val="Calibri"/>
            <family val="2"/>
            <scheme val="minor"/>
          </rPr>
          <t>Introduzca la fecha prevista de adjudicación, en formato dd-mm-aaaa</t>
        </r>
      </text>
    </comment>
    <comment ref="F1181" authorId="2" shapeId="0" xr:uid="{00000000-0006-0000-0100-00007B040000}">
      <text/>
    </comment>
    <comment ref="F1182" authorId="2" shapeId="0" xr:uid="{00000000-0006-0000-0100-00007C040000}">
      <text/>
    </comment>
    <comment ref="A1184" authorId="2" shapeId="0" xr:uid="{00000000-0006-0000-0100-00007D040000}">
      <text>
        <r>
          <rPr>
            <sz val="11"/>
            <color theme="1"/>
            <rFont val="Calibri"/>
            <family val="2"/>
            <scheme val="minor"/>
          </rPr>
          <t>Introduzca un codigo UNSPSC</t>
        </r>
      </text>
    </comment>
    <comment ref="B1184" authorId="2" shapeId="0" xr:uid="{00000000-0006-0000-0100-00007E040000}">
      <text>
        <r>
          <rPr>
            <sz val="11"/>
            <color theme="1"/>
            <rFont val="Calibri"/>
            <family val="2"/>
            <scheme val="minor"/>
          </rPr>
          <t>Descripción calculada automáticamente a partir de código del artículo</t>
        </r>
      </text>
    </comment>
    <comment ref="C1184" authorId="2" shapeId="0" xr:uid="{00000000-0006-0000-0100-00007F040000}">
      <text>
        <r>
          <rPr>
            <sz val="11"/>
            <color theme="1"/>
            <rFont val="Calibri"/>
            <family val="2"/>
            <scheme val="minor"/>
          </rPr>
          <t>Seleccione un valor de la lista</t>
        </r>
      </text>
    </comment>
    <comment ref="D1184" authorId="2" shapeId="0" xr:uid="{00000000-0006-0000-0100-000080040000}">
      <text>
        <r>
          <rPr>
            <sz val="11"/>
            <color theme="1"/>
            <rFont val="Calibri"/>
            <family val="2"/>
            <scheme val="minor"/>
          </rPr>
          <t>Introduzca un número con dos decimales como máximo. Debe ser igual o mayor a la "Cantidad Real Consumida"</t>
        </r>
      </text>
    </comment>
    <comment ref="E1184" authorId="2" shapeId="0" xr:uid="{00000000-0006-0000-0100-000081040000}">
      <text>
        <r>
          <rPr>
            <sz val="11"/>
            <color theme="1"/>
            <rFont val="Calibri"/>
            <family val="2"/>
            <scheme val="minor"/>
          </rPr>
          <t>Introduzca un número con dos decimales como máximo</t>
        </r>
      </text>
    </comment>
    <comment ref="F1184" authorId="2" shapeId="0" xr:uid="{00000000-0006-0000-0100-000082040000}">
      <text>
        <r>
          <rPr>
            <sz val="11"/>
            <color theme="1"/>
            <rFont val="Calibri"/>
            <family val="2"/>
            <scheme val="minor"/>
          </rPr>
          <t>Monto calculado automáticamente por el sistema</t>
        </r>
      </text>
    </comment>
    <comment ref="A1191" authorId="2" shapeId="0" xr:uid="{00000000-0006-0000-0100-000083040000}">
      <text>
        <r>
          <rPr>
            <sz val="11"/>
            <color theme="1"/>
            <rFont val="Calibri"/>
            <family val="2"/>
            <scheme val="minor"/>
          </rPr>
          <t>Introducir un texto con el nombre o referencia de la contratación</t>
        </r>
      </text>
    </comment>
    <comment ref="B1191" authorId="2" shapeId="0" xr:uid="{00000000-0006-0000-0100-000084040000}">
      <text>
        <r>
          <rPr>
            <sz val="11"/>
            <color theme="1"/>
            <rFont val="Calibri"/>
            <family val="2"/>
            <scheme val="minor"/>
          </rPr>
          <t>Introduzca un texto con la finalidad de la contratación</t>
        </r>
      </text>
    </comment>
    <comment ref="C1191" authorId="2" shapeId="0" xr:uid="{00000000-0006-0000-0100-000085040000}">
      <text>
        <r>
          <rPr>
            <sz val="11"/>
            <color theme="1"/>
            <rFont val="Calibri"/>
            <family val="2"/>
            <scheme val="minor"/>
          </rPr>
          <t>Seleccionar un valor del listado</t>
        </r>
      </text>
    </comment>
    <comment ref="D1191" authorId="2" shapeId="0" xr:uid="{00000000-0006-0000-0100-000086040000}">
      <text>
        <r>
          <rPr>
            <sz val="11"/>
            <color theme="1"/>
            <rFont val="Calibri"/>
            <family val="2"/>
            <scheme val="minor"/>
          </rPr>
          <t>Seleccione el tipo de procedimiento</t>
        </r>
      </text>
    </comment>
    <comment ref="E1191" authorId="2" shapeId="0" xr:uid="{00000000-0006-0000-0100-000087040000}">
      <text>
        <r>
          <rPr>
            <sz val="11"/>
            <color theme="1"/>
            <rFont val="Calibri"/>
            <family val="2"/>
            <scheme val="minor"/>
          </rPr>
          <t>Seleccione un valor de la lista</t>
        </r>
      </text>
    </comment>
    <comment ref="F1191" authorId="2" shapeId="0" xr:uid="{00000000-0006-0000-0100-000088040000}">
      <text>
        <r>
          <rPr>
            <sz val="11"/>
            <color theme="1"/>
            <rFont val="Calibri"/>
            <family val="2"/>
            <scheme val="minor"/>
          </rPr>
          <t>Introduzca el código SNIP</t>
        </r>
      </text>
    </comment>
    <comment ref="C1192" authorId="2" shapeId="0" xr:uid="{00000000-0006-0000-0100-000089040000}">
      <text>
        <r>
          <rPr>
            <sz val="11"/>
            <color theme="1"/>
            <rFont val="Calibri"/>
            <family val="2"/>
            <scheme val="minor"/>
          </rPr>
          <t>Introduzca la fecha de inicio del proceso, en formato dd-mm-aaaa</t>
        </r>
      </text>
    </comment>
    <comment ref="F1192"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2" shapeId="0" xr:uid="{00000000-0006-0000-0100-00008B040000}">
      <text/>
    </comment>
    <comment ref="C1194" authorId="2" shapeId="0" xr:uid="{00000000-0006-0000-0100-00008C040000}">
      <text>
        <r>
          <rPr>
            <sz val="11"/>
            <color theme="1"/>
            <rFont val="Calibri"/>
            <family val="2"/>
            <scheme val="minor"/>
          </rPr>
          <t>Introduzca la fecha prevista de adjudicación, en formato dd-mm-aaaa</t>
        </r>
      </text>
    </comment>
    <comment ref="F1194" authorId="2" shapeId="0" xr:uid="{00000000-0006-0000-0100-00008D040000}">
      <text/>
    </comment>
    <comment ref="F1195" authorId="2" shapeId="0" xr:uid="{00000000-0006-0000-0100-00008E040000}">
      <text/>
    </comment>
    <comment ref="A1197" authorId="2" shapeId="0" xr:uid="{00000000-0006-0000-0100-00008F040000}">
      <text>
        <r>
          <rPr>
            <sz val="11"/>
            <color theme="1"/>
            <rFont val="Calibri"/>
            <family val="2"/>
            <scheme val="minor"/>
          </rPr>
          <t>Introduzca un codigo UNSPSC</t>
        </r>
      </text>
    </comment>
    <comment ref="B1197" authorId="2" shapeId="0" xr:uid="{00000000-0006-0000-0100-000090040000}">
      <text>
        <r>
          <rPr>
            <sz val="11"/>
            <color theme="1"/>
            <rFont val="Calibri"/>
            <family val="2"/>
            <scheme val="minor"/>
          </rPr>
          <t>Descripción calculada automáticamente a partir de código del artículo</t>
        </r>
      </text>
    </comment>
    <comment ref="C1197" authorId="2" shapeId="0" xr:uid="{00000000-0006-0000-0100-000091040000}">
      <text>
        <r>
          <rPr>
            <sz val="11"/>
            <color theme="1"/>
            <rFont val="Calibri"/>
            <family val="2"/>
            <scheme val="minor"/>
          </rPr>
          <t>Seleccione un valor de la lista</t>
        </r>
      </text>
    </comment>
    <comment ref="D1197" authorId="2" shapeId="0" xr:uid="{00000000-0006-0000-0100-000092040000}">
      <text>
        <r>
          <rPr>
            <sz val="11"/>
            <color theme="1"/>
            <rFont val="Calibri"/>
            <family val="2"/>
            <scheme val="minor"/>
          </rPr>
          <t>Introduzca un número con dos decimales como máximo. Debe ser igual o mayor a la "Cantidad Real Consumida"</t>
        </r>
      </text>
    </comment>
    <comment ref="E1197" authorId="2" shapeId="0" xr:uid="{00000000-0006-0000-0100-000093040000}">
      <text>
        <r>
          <rPr>
            <sz val="11"/>
            <color theme="1"/>
            <rFont val="Calibri"/>
            <family val="2"/>
            <scheme val="minor"/>
          </rPr>
          <t>Introduzca un número con dos decimales como máximo</t>
        </r>
      </text>
    </comment>
    <comment ref="F1197" authorId="2" shapeId="0" xr:uid="{00000000-0006-0000-0100-000094040000}">
      <text>
        <r>
          <rPr>
            <sz val="11"/>
            <color theme="1"/>
            <rFont val="Calibri"/>
            <family val="2"/>
            <scheme val="minor"/>
          </rPr>
          <t>Monto calculado automáticamente por el sistema</t>
        </r>
      </text>
    </comment>
    <comment ref="A1203" authorId="2" shapeId="0" xr:uid="{00000000-0006-0000-0100-000095040000}">
      <text>
        <r>
          <rPr>
            <sz val="11"/>
            <color theme="1"/>
            <rFont val="Calibri"/>
            <family val="2"/>
            <scheme val="minor"/>
          </rPr>
          <t>Introducir un texto con el nombre o referencia de la contratación</t>
        </r>
      </text>
    </comment>
    <comment ref="B1203" authorId="2" shapeId="0" xr:uid="{00000000-0006-0000-0100-000096040000}">
      <text>
        <r>
          <rPr>
            <sz val="11"/>
            <color theme="1"/>
            <rFont val="Calibri"/>
            <family val="2"/>
            <scheme val="minor"/>
          </rPr>
          <t>Introduzca un texto con la finalidad de la contratación</t>
        </r>
      </text>
    </comment>
    <comment ref="C1203" authorId="2" shapeId="0" xr:uid="{00000000-0006-0000-0100-000097040000}">
      <text>
        <r>
          <rPr>
            <sz val="11"/>
            <color theme="1"/>
            <rFont val="Calibri"/>
            <family val="2"/>
            <scheme val="minor"/>
          </rPr>
          <t>Seleccionar un valor del listado</t>
        </r>
      </text>
    </comment>
    <comment ref="D1203" authorId="2" shapeId="0" xr:uid="{00000000-0006-0000-0100-000098040000}">
      <text>
        <r>
          <rPr>
            <sz val="11"/>
            <color theme="1"/>
            <rFont val="Calibri"/>
            <family val="2"/>
            <scheme val="minor"/>
          </rPr>
          <t>Seleccione el tipo de procedimiento</t>
        </r>
      </text>
    </comment>
    <comment ref="E1203" authorId="2" shapeId="0" xr:uid="{00000000-0006-0000-0100-000099040000}">
      <text>
        <r>
          <rPr>
            <sz val="11"/>
            <color theme="1"/>
            <rFont val="Calibri"/>
            <family val="2"/>
            <scheme val="minor"/>
          </rPr>
          <t>Seleccione un valor de la lista</t>
        </r>
      </text>
    </comment>
    <comment ref="F1203" authorId="2" shapeId="0" xr:uid="{00000000-0006-0000-0100-00009A040000}">
      <text>
        <r>
          <rPr>
            <sz val="11"/>
            <color theme="1"/>
            <rFont val="Calibri"/>
            <family val="2"/>
            <scheme val="minor"/>
          </rPr>
          <t>Introduzca el código SNIP</t>
        </r>
      </text>
    </comment>
    <comment ref="C1204" authorId="2" shapeId="0" xr:uid="{00000000-0006-0000-0100-00009B040000}">
      <text>
        <r>
          <rPr>
            <sz val="11"/>
            <color theme="1"/>
            <rFont val="Calibri"/>
            <family val="2"/>
            <scheme val="minor"/>
          </rPr>
          <t>Introduzca la fecha de inicio del proceso, en formato dd-mm-aaaa</t>
        </r>
      </text>
    </comment>
    <comment ref="F1204"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2" shapeId="0" xr:uid="{00000000-0006-0000-0100-00009D040000}">
      <text/>
    </comment>
    <comment ref="C1206" authorId="2" shapeId="0" xr:uid="{00000000-0006-0000-0100-00009E040000}">
      <text>
        <r>
          <rPr>
            <sz val="11"/>
            <color theme="1"/>
            <rFont val="Calibri"/>
            <family val="2"/>
            <scheme val="minor"/>
          </rPr>
          <t>Introduzca la fecha prevista de adjudicación, en formato dd-mm-aaaa</t>
        </r>
      </text>
    </comment>
    <comment ref="F1206" authorId="2" shapeId="0" xr:uid="{00000000-0006-0000-0100-00009F040000}">
      <text/>
    </comment>
    <comment ref="F1207" authorId="2" shapeId="0" xr:uid="{00000000-0006-0000-0100-0000A0040000}">
      <text/>
    </comment>
    <comment ref="A1209" authorId="2" shapeId="0" xr:uid="{00000000-0006-0000-0100-0000A1040000}">
      <text>
        <r>
          <rPr>
            <sz val="11"/>
            <color theme="1"/>
            <rFont val="Calibri"/>
            <family val="2"/>
            <scheme val="minor"/>
          </rPr>
          <t>Introduzca un codigo UNSPSC</t>
        </r>
      </text>
    </comment>
    <comment ref="B1209" authorId="2" shapeId="0" xr:uid="{00000000-0006-0000-0100-0000A2040000}">
      <text>
        <r>
          <rPr>
            <sz val="11"/>
            <color theme="1"/>
            <rFont val="Calibri"/>
            <family val="2"/>
            <scheme val="minor"/>
          </rPr>
          <t>Descripción calculada automáticamente a partir de código del artículo</t>
        </r>
      </text>
    </comment>
    <comment ref="C1209" authorId="2" shapeId="0" xr:uid="{00000000-0006-0000-0100-0000A3040000}">
      <text>
        <r>
          <rPr>
            <sz val="11"/>
            <color theme="1"/>
            <rFont val="Calibri"/>
            <family val="2"/>
            <scheme val="minor"/>
          </rPr>
          <t>Seleccione un valor de la lista</t>
        </r>
      </text>
    </comment>
    <comment ref="D1209" authorId="2" shapeId="0" xr:uid="{00000000-0006-0000-0100-0000A4040000}">
      <text>
        <r>
          <rPr>
            <sz val="11"/>
            <color theme="1"/>
            <rFont val="Calibri"/>
            <family val="2"/>
            <scheme val="minor"/>
          </rPr>
          <t>Introduzca un número con dos decimales como máximo. Debe ser igual o mayor a la "Cantidad Real Consumida"</t>
        </r>
      </text>
    </comment>
    <comment ref="E1209" authorId="2" shapeId="0" xr:uid="{00000000-0006-0000-0100-0000A5040000}">
      <text>
        <r>
          <rPr>
            <sz val="11"/>
            <color theme="1"/>
            <rFont val="Calibri"/>
            <family val="2"/>
            <scheme val="minor"/>
          </rPr>
          <t>Introduzca un número con dos decimales como máximo</t>
        </r>
      </text>
    </comment>
    <comment ref="F1209" authorId="2" shapeId="0" xr:uid="{00000000-0006-0000-0100-0000A6040000}">
      <text>
        <r>
          <rPr>
            <sz val="11"/>
            <color theme="1"/>
            <rFont val="Calibri"/>
            <family val="2"/>
            <scheme val="minor"/>
          </rPr>
          <t>Monto calculado automáticamente por el sistema</t>
        </r>
      </text>
    </comment>
    <comment ref="A1216" authorId="2" shapeId="0" xr:uid="{00000000-0006-0000-0100-0000A7040000}">
      <text>
        <r>
          <rPr>
            <sz val="11"/>
            <color theme="1"/>
            <rFont val="Calibri"/>
            <family val="2"/>
            <scheme val="minor"/>
          </rPr>
          <t>Introducir un texto con el nombre o referencia de la contratación</t>
        </r>
      </text>
    </comment>
    <comment ref="B1216" authorId="2" shapeId="0" xr:uid="{00000000-0006-0000-0100-0000A8040000}">
      <text>
        <r>
          <rPr>
            <sz val="11"/>
            <color theme="1"/>
            <rFont val="Calibri"/>
            <family val="2"/>
            <scheme val="minor"/>
          </rPr>
          <t>Introduzca un texto con la finalidad de la contratación</t>
        </r>
      </text>
    </comment>
    <comment ref="C1216" authorId="2" shapeId="0" xr:uid="{00000000-0006-0000-0100-0000A9040000}">
      <text>
        <r>
          <rPr>
            <sz val="11"/>
            <color theme="1"/>
            <rFont val="Calibri"/>
            <family val="2"/>
            <scheme val="minor"/>
          </rPr>
          <t>Seleccionar un valor del listado</t>
        </r>
      </text>
    </comment>
    <comment ref="D1216" authorId="2" shapeId="0" xr:uid="{00000000-0006-0000-0100-0000AA040000}">
      <text>
        <r>
          <rPr>
            <sz val="11"/>
            <color theme="1"/>
            <rFont val="Calibri"/>
            <family val="2"/>
            <scheme val="minor"/>
          </rPr>
          <t>Seleccione el tipo de procedimiento</t>
        </r>
      </text>
    </comment>
    <comment ref="E1216" authorId="2" shapeId="0" xr:uid="{00000000-0006-0000-0100-0000AB040000}">
      <text>
        <r>
          <rPr>
            <sz val="11"/>
            <color theme="1"/>
            <rFont val="Calibri"/>
            <family val="2"/>
            <scheme val="minor"/>
          </rPr>
          <t>Seleccione un valor de la lista</t>
        </r>
      </text>
    </comment>
    <comment ref="F1216" authorId="2" shapeId="0" xr:uid="{00000000-0006-0000-0100-0000AC040000}">
      <text>
        <r>
          <rPr>
            <sz val="11"/>
            <color theme="1"/>
            <rFont val="Calibri"/>
            <family val="2"/>
            <scheme val="minor"/>
          </rPr>
          <t>Introduzca el código SNIP</t>
        </r>
      </text>
    </comment>
    <comment ref="C1217" authorId="2" shapeId="0" xr:uid="{00000000-0006-0000-0100-0000AD040000}">
      <text>
        <r>
          <rPr>
            <sz val="11"/>
            <color theme="1"/>
            <rFont val="Calibri"/>
            <family val="2"/>
            <scheme val="minor"/>
          </rPr>
          <t>Introduzca la fecha de inicio del proceso, en formato dd-mm-aaaa</t>
        </r>
      </text>
    </comment>
    <comment ref="F1217"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2" shapeId="0" xr:uid="{00000000-0006-0000-0100-0000AF040000}">
      <text/>
    </comment>
    <comment ref="C1219" authorId="2" shapeId="0" xr:uid="{00000000-0006-0000-0100-0000B0040000}">
      <text>
        <r>
          <rPr>
            <sz val="11"/>
            <color theme="1"/>
            <rFont val="Calibri"/>
            <family val="2"/>
            <scheme val="minor"/>
          </rPr>
          <t>Introduzca la fecha prevista de adjudicación, en formato dd-mm-aaaa</t>
        </r>
      </text>
    </comment>
    <comment ref="F1219" authorId="2" shapeId="0" xr:uid="{00000000-0006-0000-0100-0000B1040000}">
      <text/>
    </comment>
    <comment ref="F1220" authorId="2" shapeId="0" xr:uid="{00000000-0006-0000-0100-0000B2040000}">
      <text/>
    </comment>
    <comment ref="A1222" authorId="2" shapeId="0" xr:uid="{00000000-0006-0000-0100-0000B3040000}">
      <text>
        <r>
          <rPr>
            <sz val="11"/>
            <color theme="1"/>
            <rFont val="Calibri"/>
            <family val="2"/>
            <scheme val="minor"/>
          </rPr>
          <t>Introduzca un codigo UNSPSC</t>
        </r>
      </text>
    </comment>
    <comment ref="B1222" authorId="2" shapeId="0" xr:uid="{00000000-0006-0000-0100-0000B4040000}">
      <text>
        <r>
          <rPr>
            <sz val="11"/>
            <color theme="1"/>
            <rFont val="Calibri"/>
            <family val="2"/>
            <scheme val="minor"/>
          </rPr>
          <t>Descripción calculada automáticamente a partir de código del artículo</t>
        </r>
      </text>
    </comment>
    <comment ref="C1222" authorId="2" shapeId="0" xr:uid="{00000000-0006-0000-0100-0000B5040000}">
      <text>
        <r>
          <rPr>
            <sz val="11"/>
            <color theme="1"/>
            <rFont val="Calibri"/>
            <family val="2"/>
            <scheme val="minor"/>
          </rPr>
          <t>Seleccione un valor de la lista</t>
        </r>
      </text>
    </comment>
    <comment ref="D1222" authorId="2" shapeId="0" xr:uid="{00000000-0006-0000-0100-0000B6040000}">
      <text>
        <r>
          <rPr>
            <sz val="11"/>
            <color theme="1"/>
            <rFont val="Calibri"/>
            <family val="2"/>
            <scheme val="minor"/>
          </rPr>
          <t>Introduzca un número con dos decimales como máximo. Debe ser igual o mayor a la "Cantidad Real Consumida"</t>
        </r>
      </text>
    </comment>
    <comment ref="E1222" authorId="2" shapeId="0" xr:uid="{00000000-0006-0000-0100-0000B7040000}">
      <text>
        <r>
          <rPr>
            <sz val="11"/>
            <color theme="1"/>
            <rFont val="Calibri"/>
            <family val="2"/>
            <scheme val="minor"/>
          </rPr>
          <t>Introduzca un número con dos decimales como máximo</t>
        </r>
      </text>
    </comment>
    <comment ref="F1222" authorId="2" shapeId="0" xr:uid="{00000000-0006-0000-0100-0000B8040000}">
      <text>
        <r>
          <rPr>
            <sz val="11"/>
            <color theme="1"/>
            <rFont val="Calibri"/>
            <family val="2"/>
            <scheme val="minor"/>
          </rPr>
          <t>Monto calculado automáticamente por el sistema</t>
        </r>
      </text>
    </comment>
    <comment ref="A1227" authorId="2" shapeId="0" xr:uid="{00000000-0006-0000-0100-0000B9040000}">
      <text>
        <r>
          <rPr>
            <sz val="11"/>
            <color theme="1"/>
            <rFont val="Calibri"/>
            <family val="2"/>
            <scheme val="minor"/>
          </rPr>
          <t>Introducir un texto con el nombre o referencia de la contratación</t>
        </r>
      </text>
    </comment>
    <comment ref="B1227" authorId="2" shapeId="0" xr:uid="{00000000-0006-0000-0100-0000BA040000}">
      <text>
        <r>
          <rPr>
            <sz val="11"/>
            <color theme="1"/>
            <rFont val="Calibri"/>
            <family val="2"/>
            <scheme val="minor"/>
          </rPr>
          <t>Introduzca un texto con la finalidad de la contratación</t>
        </r>
      </text>
    </comment>
    <comment ref="C1227" authorId="2" shapeId="0" xr:uid="{00000000-0006-0000-0100-0000BB040000}">
      <text>
        <r>
          <rPr>
            <sz val="11"/>
            <color theme="1"/>
            <rFont val="Calibri"/>
            <family val="2"/>
            <scheme val="minor"/>
          </rPr>
          <t>Seleccionar un valor del listado</t>
        </r>
      </text>
    </comment>
    <comment ref="D1227" authorId="2" shapeId="0" xr:uid="{00000000-0006-0000-0100-0000BC040000}">
      <text>
        <r>
          <rPr>
            <sz val="11"/>
            <color theme="1"/>
            <rFont val="Calibri"/>
            <family val="2"/>
            <scheme val="minor"/>
          </rPr>
          <t>Seleccione el tipo de procedimiento</t>
        </r>
      </text>
    </comment>
    <comment ref="E1227" authorId="2" shapeId="0" xr:uid="{00000000-0006-0000-0100-0000BD040000}">
      <text>
        <r>
          <rPr>
            <sz val="11"/>
            <color theme="1"/>
            <rFont val="Calibri"/>
            <family val="2"/>
            <scheme val="minor"/>
          </rPr>
          <t>Seleccione un valor de la lista</t>
        </r>
      </text>
    </comment>
    <comment ref="F1227" authorId="2" shapeId="0" xr:uid="{00000000-0006-0000-0100-0000BE040000}">
      <text>
        <r>
          <rPr>
            <sz val="11"/>
            <color theme="1"/>
            <rFont val="Calibri"/>
            <family val="2"/>
            <scheme val="minor"/>
          </rPr>
          <t>Introduzca el código SNIP</t>
        </r>
      </text>
    </comment>
    <comment ref="C1228" authorId="2" shapeId="0" xr:uid="{00000000-0006-0000-0100-0000BF040000}">
      <text>
        <r>
          <rPr>
            <sz val="11"/>
            <color theme="1"/>
            <rFont val="Calibri"/>
            <family val="2"/>
            <scheme val="minor"/>
          </rPr>
          <t>Introduzca la fecha de inicio del proceso, en formato dd-mm-aaaa</t>
        </r>
      </text>
    </comment>
    <comment ref="F1228"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2" shapeId="0" xr:uid="{00000000-0006-0000-0100-0000C1040000}">
      <text/>
    </comment>
    <comment ref="C1230" authorId="2" shapeId="0" xr:uid="{00000000-0006-0000-0100-0000C2040000}">
      <text>
        <r>
          <rPr>
            <sz val="11"/>
            <color theme="1"/>
            <rFont val="Calibri"/>
            <family val="2"/>
            <scheme val="minor"/>
          </rPr>
          <t>Introduzca la fecha prevista de adjudicación, en formato dd-mm-aaaa</t>
        </r>
      </text>
    </comment>
    <comment ref="F1230" authorId="2" shapeId="0" xr:uid="{00000000-0006-0000-0100-0000C3040000}">
      <text/>
    </comment>
    <comment ref="F1231" authorId="2" shapeId="0" xr:uid="{00000000-0006-0000-0100-0000C4040000}">
      <text/>
    </comment>
    <comment ref="A1233" authorId="2" shapeId="0" xr:uid="{00000000-0006-0000-0100-0000C5040000}">
      <text>
        <r>
          <rPr>
            <sz val="11"/>
            <color theme="1"/>
            <rFont val="Calibri"/>
            <family val="2"/>
            <scheme val="minor"/>
          </rPr>
          <t>Introduzca un codigo UNSPSC</t>
        </r>
      </text>
    </comment>
    <comment ref="B1233" authorId="2" shapeId="0" xr:uid="{00000000-0006-0000-0100-0000C6040000}">
      <text>
        <r>
          <rPr>
            <sz val="11"/>
            <color theme="1"/>
            <rFont val="Calibri"/>
            <family val="2"/>
            <scheme val="minor"/>
          </rPr>
          <t>Descripción calculada automáticamente a partir de código del artículo</t>
        </r>
      </text>
    </comment>
    <comment ref="C1233" authorId="2" shapeId="0" xr:uid="{00000000-0006-0000-0100-0000C7040000}">
      <text>
        <r>
          <rPr>
            <sz val="11"/>
            <color theme="1"/>
            <rFont val="Calibri"/>
            <family val="2"/>
            <scheme val="minor"/>
          </rPr>
          <t>Seleccione un valor de la lista</t>
        </r>
      </text>
    </comment>
    <comment ref="D1233" authorId="2" shapeId="0" xr:uid="{00000000-0006-0000-0100-0000C8040000}">
      <text>
        <r>
          <rPr>
            <sz val="11"/>
            <color theme="1"/>
            <rFont val="Calibri"/>
            <family val="2"/>
            <scheme val="minor"/>
          </rPr>
          <t>Introduzca un número con dos decimales como máximo. Debe ser igual o mayor a la "Cantidad Real Consumida"</t>
        </r>
      </text>
    </comment>
    <comment ref="E1233" authorId="2" shapeId="0" xr:uid="{00000000-0006-0000-0100-0000C9040000}">
      <text>
        <r>
          <rPr>
            <sz val="11"/>
            <color theme="1"/>
            <rFont val="Calibri"/>
            <family val="2"/>
            <scheme val="minor"/>
          </rPr>
          <t>Introduzca un número con dos decimales como máximo</t>
        </r>
      </text>
    </comment>
    <comment ref="F1233" authorId="2" shapeId="0" xr:uid="{00000000-0006-0000-0100-0000CA040000}">
      <text>
        <r>
          <rPr>
            <sz val="11"/>
            <color theme="1"/>
            <rFont val="Calibri"/>
            <family val="2"/>
            <scheme val="minor"/>
          </rPr>
          <t>Monto calculado automáticamente por el sistema</t>
        </r>
      </text>
    </comment>
    <comment ref="A1238" authorId="2" shapeId="0" xr:uid="{00000000-0006-0000-0100-0000CB040000}">
      <text>
        <r>
          <rPr>
            <sz val="11"/>
            <color theme="1"/>
            <rFont val="Calibri"/>
            <family val="2"/>
            <scheme val="minor"/>
          </rPr>
          <t>Introducir un texto con el nombre o referencia de la contratación</t>
        </r>
      </text>
    </comment>
    <comment ref="B1238" authorId="2" shapeId="0" xr:uid="{00000000-0006-0000-0100-0000CC040000}">
      <text>
        <r>
          <rPr>
            <sz val="11"/>
            <color theme="1"/>
            <rFont val="Calibri"/>
            <family val="2"/>
            <scheme val="minor"/>
          </rPr>
          <t>Introduzca un texto con la finalidad de la contratación</t>
        </r>
      </text>
    </comment>
    <comment ref="C1238" authorId="2" shapeId="0" xr:uid="{00000000-0006-0000-0100-0000CD040000}">
      <text>
        <r>
          <rPr>
            <sz val="11"/>
            <color theme="1"/>
            <rFont val="Calibri"/>
            <family val="2"/>
            <scheme val="minor"/>
          </rPr>
          <t>Seleccionar un valor del listado</t>
        </r>
      </text>
    </comment>
    <comment ref="D1238" authorId="2" shapeId="0" xr:uid="{00000000-0006-0000-0100-0000CE040000}">
      <text>
        <r>
          <rPr>
            <sz val="11"/>
            <color theme="1"/>
            <rFont val="Calibri"/>
            <family val="2"/>
            <scheme val="minor"/>
          </rPr>
          <t>Seleccione el tipo de procedimiento</t>
        </r>
      </text>
    </comment>
    <comment ref="E1238" authorId="2" shapeId="0" xr:uid="{00000000-0006-0000-0100-0000CF040000}">
      <text>
        <r>
          <rPr>
            <sz val="11"/>
            <color theme="1"/>
            <rFont val="Calibri"/>
            <family val="2"/>
            <scheme val="minor"/>
          </rPr>
          <t>Seleccione un valor de la lista</t>
        </r>
      </text>
    </comment>
    <comment ref="F1238" authorId="2" shapeId="0" xr:uid="{00000000-0006-0000-0100-0000D0040000}">
      <text>
        <r>
          <rPr>
            <sz val="11"/>
            <color theme="1"/>
            <rFont val="Calibri"/>
            <family val="2"/>
            <scheme val="minor"/>
          </rPr>
          <t>Introduzca el código SNIP</t>
        </r>
      </text>
    </comment>
    <comment ref="C1239" authorId="2" shapeId="0" xr:uid="{00000000-0006-0000-0100-0000D1040000}">
      <text>
        <r>
          <rPr>
            <sz val="11"/>
            <color theme="1"/>
            <rFont val="Calibri"/>
            <family val="2"/>
            <scheme val="minor"/>
          </rPr>
          <t>Introduzca la fecha de inicio del proceso, en formato dd-mm-aaaa</t>
        </r>
      </text>
    </comment>
    <comment ref="F1239"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2" shapeId="0" xr:uid="{00000000-0006-0000-0100-0000D3040000}">
      <text/>
    </comment>
    <comment ref="C1241" authorId="2" shapeId="0" xr:uid="{00000000-0006-0000-0100-0000D4040000}">
      <text>
        <r>
          <rPr>
            <sz val="11"/>
            <color theme="1"/>
            <rFont val="Calibri"/>
            <family val="2"/>
            <scheme val="minor"/>
          </rPr>
          <t>Introduzca la fecha prevista de adjudicación, en formato dd-mm-aaaa</t>
        </r>
      </text>
    </comment>
    <comment ref="F1241" authorId="2" shapeId="0" xr:uid="{00000000-0006-0000-0100-0000D5040000}">
      <text/>
    </comment>
    <comment ref="F1242" authorId="2" shapeId="0" xr:uid="{00000000-0006-0000-0100-0000D6040000}">
      <text/>
    </comment>
    <comment ref="A1244" authorId="2" shapeId="0" xr:uid="{00000000-0006-0000-0100-0000D7040000}">
      <text>
        <r>
          <rPr>
            <sz val="11"/>
            <color theme="1"/>
            <rFont val="Calibri"/>
            <family val="2"/>
            <scheme val="minor"/>
          </rPr>
          <t>Introduzca un codigo UNSPSC</t>
        </r>
      </text>
    </comment>
    <comment ref="B1244" authorId="2" shapeId="0" xr:uid="{00000000-0006-0000-0100-0000D8040000}">
      <text>
        <r>
          <rPr>
            <sz val="11"/>
            <color theme="1"/>
            <rFont val="Calibri"/>
            <family val="2"/>
            <scheme val="minor"/>
          </rPr>
          <t>Descripción calculada automáticamente a partir de código del artículo</t>
        </r>
      </text>
    </comment>
    <comment ref="C1244" authorId="2" shapeId="0" xr:uid="{00000000-0006-0000-0100-0000D9040000}">
      <text>
        <r>
          <rPr>
            <sz val="11"/>
            <color theme="1"/>
            <rFont val="Calibri"/>
            <family val="2"/>
            <scheme val="minor"/>
          </rPr>
          <t>Seleccione un valor de la lista</t>
        </r>
      </text>
    </comment>
    <comment ref="D1244" authorId="2" shapeId="0" xr:uid="{00000000-0006-0000-0100-0000DA040000}">
      <text>
        <r>
          <rPr>
            <sz val="11"/>
            <color theme="1"/>
            <rFont val="Calibri"/>
            <family val="2"/>
            <scheme val="minor"/>
          </rPr>
          <t>Introduzca un número con dos decimales como máximo. Debe ser igual o mayor a la "Cantidad Real Consumida"</t>
        </r>
      </text>
    </comment>
    <comment ref="E1244" authorId="2" shapeId="0" xr:uid="{00000000-0006-0000-0100-0000DB040000}">
      <text>
        <r>
          <rPr>
            <sz val="11"/>
            <color theme="1"/>
            <rFont val="Calibri"/>
            <family val="2"/>
            <scheme val="minor"/>
          </rPr>
          <t>Introduzca un número con dos decimales como máximo</t>
        </r>
      </text>
    </comment>
    <comment ref="F1244" authorId="2" shapeId="0" xr:uid="{00000000-0006-0000-0100-0000DC040000}">
      <text>
        <r>
          <rPr>
            <sz val="11"/>
            <color theme="1"/>
            <rFont val="Calibri"/>
            <family val="2"/>
            <scheme val="minor"/>
          </rPr>
          <t>Monto calculado automáticamente por el sistema</t>
        </r>
      </text>
    </comment>
    <comment ref="A1249" authorId="2" shapeId="0" xr:uid="{00000000-0006-0000-0100-0000DD040000}">
      <text>
        <r>
          <rPr>
            <sz val="11"/>
            <color theme="1"/>
            <rFont val="Calibri"/>
            <family val="2"/>
            <scheme val="minor"/>
          </rPr>
          <t>Introducir un texto con el nombre o referencia de la contratación</t>
        </r>
      </text>
    </comment>
    <comment ref="B1249" authorId="2" shapeId="0" xr:uid="{00000000-0006-0000-0100-0000DE040000}">
      <text>
        <r>
          <rPr>
            <sz val="11"/>
            <color theme="1"/>
            <rFont val="Calibri"/>
            <family val="2"/>
            <scheme val="minor"/>
          </rPr>
          <t>Introduzca un texto con la finalidad de la contratación</t>
        </r>
      </text>
    </comment>
    <comment ref="C1249" authorId="2" shapeId="0" xr:uid="{00000000-0006-0000-0100-0000DF040000}">
      <text>
        <r>
          <rPr>
            <sz val="11"/>
            <color theme="1"/>
            <rFont val="Calibri"/>
            <family val="2"/>
            <scheme val="minor"/>
          </rPr>
          <t>Seleccionar un valor del listado</t>
        </r>
      </text>
    </comment>
    <comment ref="D1249" authorId="2" shapeId="0" xr:uid="{00000000-0006-0000-0100-0000E0040000}">
      <text>
        <r>
          <rPr>
            <sz val="11"/>
            <color theme="1"/>
            <rFont val="Calibri"/>
            <family val="2"/>
            <scheme val="minor"/>
          </rPr>
          <t>Seleccione el tipo de procedimiento</t>
        </r>
      </text>
    </comment>
    <comment ref="E1249" authorId="2" shapeId="0" xr:uid="{00000000-0006-0000-0100-0000E1040000}">
      <text>
        <r>
          <rPr>
            <sz val="11"/>
            <color theme="1"/>
            <rFont val="Calibri"/>
            <family val="2"/>
            <scheme val="minor"/>
          </rPr>
          <t>Seleccione un valor de la lista</t>
        </r>
      </text>
    </comment>
    <comment ref="F1249" authorId="2" shapeId="0" xr:uid="{00000000-0006-0000-0100-0000E2040000}">
      <text>
        <r>
          <rPr>
            <sz val="11"/>
            <color theme="1"/>
            <rFont val="Calibri"/>
            <family val="2"/>
            <scheme val="minor"/>
          </rPr>
          <t>Introduzca el código SNIP</t>
        </r>
      </text>
    </comment>
    <comment ref="C1250" authorId="2" shapeId="0" xr:uid="{00000000-0006-0000-0100-0000E3040000}">
      <text>
        <r>
          <rPr>
            <sz val="11"/>
            <color theme="1"/>
            <rFont val="Calibri"/>
            <family val="2"/>
            <scheme val="minor"/>
          </rPr>
          <t>Introduzca la fecha de inicio del proceso, en formato dd-mm-aaaa</t>
        </r>
      </text>
    </comment>
    <comment ref="F1250"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2" shapeId="0" xr:uid="{00000000-0006-0000-0100-0000E5040000}">
      <text/>
    </comment>
    <comment ref="C1252" authorId="2" shapeId="0" xr:uid="{00000000-0006-0000-0100-0000E6040000}">
      <text>
        <r>
          <rPr>
            <sz val="11"/>
            <color theme="1"/>
            <rFont val="Calibri"/>
            <family val="2"/>
            <scheme val="minor"/>
          </rPr>
          <t>Introduzca la fecha prevista de adjudicación, en formato dd-mm-aaaa</t>
        </r>
      </text>
    </comment>
    <comment ref="F1252" authorId="2" shapeId="0" xr:uid="{00000000-0006-0000-0100-0000E7040000}">
      <text/>
    </comment>
    <comment ref="F1253" authorId="2" shapeId="0" xr:uid="{00000000-0006-0000-0100-0000E8040000}">
      <text/>
    </comment>
    <comment ref="A1255" authorId="2" shapeId="0" xr:uid="{00000000-0006-0000-0100-0000E9040000}">
      <text>
        <r>
          <rPr>
            <sz val="11"/>
            <color theme="1"/>
            <rFont val="Calibri"/>
            <family val="2"/>
            <scheme val="minor"/>
          </rPr>
          <t>Introduzca un codigo UNSPSC</t>
        </r>
      </text>
    </comment>
    <comment ref="B1255" authorId="2" shapeId="0" xr:uid="{00000000-0006-0000-0100-0000EA040000}">
      <text>
        <r>
          <rPr>
            <sz val="11"/>
            <color theme="1"/>
            <rFont val="Calibri"/>
            <family val="2"/>
            <scheme val="minor"/>
          </rPr>
          <t>Descripción calculada automáticamente a partir de código del artículo</t>
        </r>
      </text>
    </comment>
    <comment ref="C1255" authorId="2" shapeId="0" xr:uid="{00000000-0006-0000-0100-0000EB040000}">
      <text>
        <r>
          <rPr>
            <sz val="11"/>
            <color theme="1"/>
            <rFont val="Calibri"/>
            <family val="2"/>
            <scheme val="minor"/>
          </rPr>
          <t>Seleccione un valor de la lista</t>
        </r>
      </text>
    </comment>
    <comment ref="D1255" authorId="2" shapeId="0" xr:uid="{00000000-0006-0000-0100-0000EC040000}">
      <text>
        <r>
          <rPr>
            <sz val="11"/>
            <color theme="1"/>
            <rFont val="Calibri"/>
            <family val="2"/>
            <scheme val="minor"/>
          </rPr>
          <t>Introduzca un número con dos decimales como máximo. Debe ser igual o mayor a la "Cantidad Real Consumida"</t>
        </r>
      </text>
    </comment>
    <comment ref="E1255" authorId="2" shapeId="0" xr:uid="{00000000-0006-0000-0100-0000ED040000}">
      <text>
        <r>
          <rPr>
            <sz val="11"/>
            <color theme="1"/>
            <rFont val="Calibri"/>
            <family val="2"/>
            <scheme val="minor"/>
          </rPr>
          <t>Introduzca un número con dos decimales como máximo</t>
        </r>
      </text>
    </comment>
    <comment ref="F1255" authorId="2" shapeId="0" xr:uid="{00000000-0006-0000-0100-0000EE040000}">
      <text>
        <r>
          <rPr>
            <sz val="11"/>
            <color theme="1"/>
            <rFont val="Calibri"/>
            <family val="2"/>
            <scheme val="minor"/>
          </rPr>
          <t>Monto calculado automáticamente por el sistema</t>
        </r>
      </text>
    </comment>
    <comment ref="A1263" authorId="2" shapeId="0" xr:uid="{00000000-0006-0000-0100-0000EF040000}">
      <text>
        <r>
          <rPr>
            <sz val="11"/>
            <color theme="1"/>
            <rFont val="Calibri"/>
            <family val="2"/>
            <scheme val="minor"/>
          </rPr>
          <t>Introducir un texto con el nombre o referencia de la contratación</t>
        </r>
      </text>
    </comment>
    <comment ref="B1263" authorId="2" shapeId="0" xr:uid="{00000000-0006-0000-0100-0000F0040000}">
      <text>
        <r>
          <rPr>
            <sz val="11"/>
            <color theme="1"/>
            <rFont val="Calibri"/>
            <family val="2"/>
            <scheme val="minor"/>
          </rPr>
          <t>Introduzca un texto con la finalidad de la contratación</t>
        </r>
      </text>
    </comment>
    <comment ref="C1263" authorId="2" shapeId="0" xr:uid="{00000000-0006-0000-0100-0000F1040000}">
      <text>
        <r>
          <rPr>
            <sz val="11"/>
            <color theme="1"/>
            <rFont val="Calibri"/>
            <family val="2"/>
            <scheme val="minor"/>
          </rPr>
          <t>Seleccionar un valor del listado</t>
        </r>
      </text>
    </comment>
    <comment ref="D1263" authorId="2" shapeId="0" xr:uid="{00000000-0006-0000-0100-0000F2040000}">
      <text>
        <r>
          <rPr>
            <sz val="11"/>
            <color theme="1"/>
            <rFont val="Calibri"/>
            <family val="2"/>
            <scheme val="minor"/>
          </rPr>
          <t>Seleccione el tipo de procedimiento</t>
        </r>
      </text>
    </comment>
    <comment ref="E1263" authorId="2" shapeId="0" xr:uid="{00000000-0006-0000-0100-0000F3040000}">
      <text>
        <r>
          <rPr>
            <sz val="11"/>
            <color theme="1"/>
            <rFont val="Calibri"/>
            <family val="2"/>
            <scheme val="minor"/>
          </rPr>
          <t>Seleccione un valor de la lista</t>
        </r>
      </text>
    </comment>
    <comment ref="F1263" authorId="2" shapeId="0" xr:uid="{00000000-0006-0000-0100-0000F4040000}">
      <text>
        <r>
          <rPr>
            <sz val="11"/>
            <color theme="1"/>
            <rFont val="Calibri"/>
            <family val="2"/>
            <scheme val="minor"/>
          </rPr>
          <t>Introduzca el código SNIP</t>
        </r>
      </text>
    </comment>
    <comment ref="C1264" authorId="2" shapeId="0" xr:uid="{00000000-0006-0000-0100-0000F5040000}">
      <text>
        <r>
          <rPr>
            <sz val="11"/>
            <color theme="1"/>
            <rFont val="Calibri"/>
            <family val="2"/>
            <scheme val="minor"/>
          </rPr>
          <t>Introduzca la fecha de inicio del proceso, en formato dd-mm-aaaa</t>
        </r>
      </text>
    </comment>
    <comment ref="F1264"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2" shapeId="0" xr:uid="{00000000-0006-0000-0100-0000F7040000}">
      <text/>
    </comment>
    <comment ref="C1266" authorId="2" shapeId="0" xr:uid="{00000000-0006-0000-0100-0000F8040000}">
      <text>
        <r>
          <rPr>
            <sz val="11"/>
            <color theme="1"/>
            <rFont val="Calibri"/>
            <family val="2"/>
            <scheme val="minor"/>
          </rPr>
          <t>Introduzca la fecha prevista de adjudicación, en formato dd-mm-aaaa</t>
        </r>
      </text>
    </comment>
    <comment ref="F1266" authorId="2" shapeId="0" xr:uid="{00000000-0006-0000-0100-0000F9040000}">
      <text/>
    </comment>
    <comment ref="F1267" authorId="2" shapeId="0" xr:uid="{00000000-0006-0000-0100-0000FA040000}">
      <text/>
    </comment>
    <comment ref="A1269" authorId="2" shapeId="0" xr:uid="{00000000-0006-0000-0100-0000FB040000}">
      <text>
        <r>
          <rPr>
            <sz val="11"/>
            <color theme="1"/>
            <rFont val="Calibri"/>
            <family val="2"/>
            <scheme val="minor"/>
          </rPr>
          <t>Introduzca un codigo UNSPSC</t>
        </r>
      </text>
    </comment>
    <comment ref="B1269" authorId="2" shapeId="0" xr:uid="{00000000-0006-0000-0100-0000FC040000}">
      <text>
        <r>
          <rPr>
            <sz val="11"/>
            <color theme="1"/>
            <rFont val="Calibri"/>
            <family val="2"/>
            <scheme val="minor"/>
          </rPr>
          <t>Descripción calculada automáticamente a partir de código del artículo</t>
        </r>
      </text>
    </comment>
    <comment ref="C1269" authorId="2" shapeId="0" xr:uid="{00000000-0006-0000-0100-0000FD040000}">
      <text>
        <r>
          <rPr>
            <sz val="11"/>
            <color theme="1"/>
            <rFont val="Calibri"/>
            <family val="2"/>
            <scheme val="minor"/>
          </rPr>
          <t>Seleccione un valor de la lista</t>
        </r>
      </text>
    </comment>
    <comment ref="D1269" authorId="2" shapeId="0" xr:uid="{00000000-0006-0000-0100-0000FE040000}">
      <text>
        <r>
          <rPr>
            <sz val="11"/>
            <color theme="1"/>
            <rFont val="Calibri"/>
            <family val="2"/>
            <scheme val="minor"/>
          </rPr>
          <t>Introduzca un número con dos decimales como máximo. Debe ser igual o mayor a la "Cantidad Real Consumida"</t>
        </r>
      </text>
    </comment>
    <comment ref="E1269" authorId="2" shapeId="0" xr:uid="{00000000-0006-0000-0100-0000FF040000}">
      <text>
        <r>
          <rPr>
            <sz val="11"/>
            <color theme="1"/>
            <rFont val="Calibri"/>
            <family val="2"/>
            <scheme val="minor"/>
          </rPr>
          <t>Introduzca un número con dos decimales como máximo</t>
        </r>
      </text>
    </comment>
    <comment ref="F1269" authorId="2" shapeId="0" xr:uid="{00000000-0006-0000-0100-000000050000}">
      <text>
        <r>
          <rPr>
            <sz val="11"/>
            <color theme="1"/>
            <rFont val="Calibri"/>
            <family val="2"/>
            <scheme val="minor"/>
          </rPr>
          <t>Monto calculado automáticamente por el sistema</t>
        </r>
      </text>
    </comment>
    <comment ref="A1276" authorId="2" shapeId="0" xr:uid="{00000000-0006-0000-0100-000001050000}">
      <text>
        <r>
          <rPr>
            <sz val="11"/>
            <color theme="1"/>
            <rFont val="Calibri"/>
            <family val="2"/>
            <scheme val="minor"/>
          </rPr>
          <t>Introducir un texto con el nombre o referencia de la contratación</t>
        </r>
      </text>
    </comment>
    <comment ref="B1276" authorId="2" shapeId="0" xr:uid="{00000000-0006-0000-0100-000002050000}">
      <text>
        <r>
          <rPr>
            <sz val="11"/>
            <color theme="1"/>
            <rFont val="Calibri"/>
            <family val="2"/>
            <scheme val="minor"/>
          </rPr>
          <t>Introduzca un texto con la finalidad de la contratación</t>
        </r>
      </text>
    </comment>
    <comment ref="C1276" authorId="2" shapeId="0" xr:uid="{00000000-0006-0000-0100-000003050000}">
      <text>
        <r>
          <rPr>
            <sz val="11"/>
            <color theme="1"/>
            <rFont val="Calibri"/>
            <family val="2"/>
            <scheme val="minor"/>
          </rPr>
          <t>Seleccionar un valor del listado</t>
        </r>
      </text>
    </comment>
    <comment ref="D1276" authorId="2" shapeId="0" xr:uid="{00000000-0006-0000-0100-000004050000}">
      <text>
        <r>
          <rPr>
            <sz val="11"/>
            <color theme="1"/>
            <rFont val="Calibri"/>
            <family val="2"/>
            <scheme val="minor"/>
          </rPr>
          <t>Seleccione el tipo de procedimiento</t>
        </r>
      </text>
    </comment>
    <comment ref="E1276" authorId="2" shapeId="0" xr:uid="{00000000-0006-0000-0100-000005050000}">
      <text>
        <r>
          <rPr>
            <sz val="11"/>
            <color theme="1"/>
            <rFont val="Calibri"/>
            <family val="2"/>
            <scheme val="minor"/>
          </rPr>
          <t>Seleccione un valor de la lista</t>
        </r>
      </text>
    </comment>
    <comment ref="F1276" authorId="2" shapeId="0" xr:uid="{00000000-0006-0000-0100-000006050000}">
      <text>
        <r>
          <rPr>
            <sz val="11"/>
            <color theme="1"/>
            <rFont val="Calibri"/>
            <family val="2"/>
            <scheme val="minor"/>
          </rPr>
          <t>Introduzca el código SNIP</t>
        </r>
      </text>
    </comment>
    <comment ref="C1277" authorId="2" shapeId="0" xr:uid="{00000000-0006-0000-0100-000007050000}">
      <text>
        <r>
          <rPr>
            <sz val="11"/>
            <color theme="1"/>
            <rFont val="Calibri"/>
            <family val="2"/>
            <scheme val="minor"/>
          </rPr>
          <t>Introduzca la fecha de inicio del proceso, en formato dd-mm-aaaa</t>
        </r>
      </text>
    </comment>
    <comment ref="F1277"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2" shapeId="0" xr:uid="{00000000-0006-0000-0100-000009050000}">
      <text/>
    </comment>
    <comment ref="C1279" authorId="2" shapeId="0" xr:uid="{00000000-0006-0000-0100-00000A050000}">
      <text>
        <r>
          <rPr>
            <sz val="11"/>
            <color theme="1"/>
            <rFont val="Calibri"/>
            <family val="2"/>
            <scheme val="minor"/>
          </rPr>
          <t>Introduzca la fecha prevista de adjudicación, en formato dd-mm-aaaa</t>
        </r>
      </text>
    </comment>
    <comment ref="F1279" authorId="2" shapeId="0" xr:uid="{00000000-0006-0000-0100-00000B050000}">
      <text/>
    </comment>
    <comment ref="F1280" authorId="2" shapeId="0" xr:uid="{00000000-0006-0000-0100-00000C050000}">
      <text/>
    </comment>
    <comment ref="A1282" authorId="2" shapeId="0" xr:uid="{00000000-0006-0000-0100-00000D050000}">
      <text>
        <r>
          <rPr>
            <sz val="11"/>
            <color theme="1"/>
            <rFont val="Calibri"/>
            <family val="2"/>
            <scheme val="minor"/>
          </rPr>
          <t>Introduzca un codigo UNSPSC</t>
        </r>
      </text>
    </comment>
    <comment ref="B1282" authorId="2" shapeId="0" xr:uid="{00000000-0006-0000-0100-00000E050000}">
      <text>
        <r>
          <rPr>
            <sz val="11"/>
            <color theme="1"/>
            <rFont val="Calibri"/>
            <family val="2"/>
            <scheme val="minor"/>
          </rPr>
          <t>Descripción calculada automáticamente a partir de código del artículo</t>
        </r>
      </text>
    </comment>
    <comment ref="C1282" authorId="2" shapeId="0" xr:uid="{00000000-0006-0000-0100-00000F050000}">
      <text>
        <r>
          <rPr>
            <sz val="11"/>
            <color theme="1"/>
            <rFont val="Calibri"/>
            <family val="2"/>
            <scheme val="minor"/>
          </rPr>
          <t>Seleccione un valor de la lista</t>
        </r>
      </text>
    </comment>
    <comment ref="D1282" authorId="2" shapeId="0" xr:uid="{00000000-0006-0000-0100-000010050000}">
      <text>
        <r>
          <rPr>
            <sz val="11"/>
            <color theme="1"/>
            <rFont val="Calibri"/>
            <family val="2"/>
            <scheme val="minor"/>
          </rPr>
          <t>Introduzca un número con dos decimales como máximo. Debe ser igual o mayor a la "Cantidad Real Consumida"</t>
        </r>
      </text>
    </comment>
    <comment ref="E1282" authorId="2" shapeId="0" xr:uid="{00000000-0006-0000-0100-000011050000}">
      <text>
        <r>
          <rPr>
            <sz val="11"/>
            <color theme="1"/>
            <rFont val="Calibri"/>
            <family val="2"/>
            <scheme val="minor"/>
          </rPr>
          <t>Introduzca un número con dos decimales como máximo</t>
        </r>
      </text>
    </comment>
    <comment ref="F1282" authorId="2" shapeId="0" xr:uid="{00000000-0006-0000-0100-000012050000}">
      <text>
        <r>
          <rPr>
            <sz val="11"/>
            <color theme="1"/>
            <rFont val="Calibri"/>
            <family val="2"/>
            <scheme val="minor"/>
          </rPr>
          <t>Monto calculado automáticamente por el sistema</t>
        </r>
      </text>
    </comment>
    <comment ref="A1290" authorId="2" shapeId="0" xr:uid="{00000000-0006-0000-0100-000013050000}">
      <text>
        <r>
          <rPr>
            <sz val="11"/>
            <color theme="1"/>
            <rFont val="Calibri"/>
            <family val="2"/>
            <scheme val="minor"/>
          </rPr>
          <t>Introducir un texto con el nombre o referencia de la contratación</t>
        </r>
      </text>
    </comment>
    <comment ref="B1290" authorId="2" shapeId="0" xr:uid="{00000000-0006-0000-0100-000014050000}">
      <text>
        <r>
          <rPr>
            <sz val="11"/>
            <color theme="1"/>
            <rFont val="Calibri"/>
            <family val="2"/>
            <scheme val="minor"/>
          </rPr>
          <t>Introduzca un texto con la finalidad de la contratación</t>
        </r>
      </text>
    </comment>
    <comment ref="C1290" authorId="2" shapeId="0" xr:uid="{00000000-0006-0000-0100-000015050000}">
      <text>
        <r>
          <rPr>
            <sz val="11"/>
            <color theme="1"/>
            <rFont val="Calibri"/>
            <family val="2"/>
            <scheme val="minor"/>
          </rPr>
          <t>Seleccionar un valor del listado</t>
        </r>
      </text>
    </comment>
    <comment ref="D1290" authorId="2" shapeId="0" xr:uid="{00000000-0006-0000-0100-000016050000}">
      <text>
        <r>
          <rPr>
            <sz val="11"/>
            <color theme="1"/>
            <rFont val="Calibri"/>
            <family val="2"/>
            <scheme val="minor"/>
          </rPr>
          <t>Seleccione el tipo de procedimiento</t>
        </r>
      </text>
    </comment>
    <comment ref="E1290" authorId="2" shapeId="0" xr:uid="{00000000-0006-0000-0100-000017050000}">
      <text>
        <r>
          <rPr>
            <sz val="11"/>
            <color theme="1"/>
            <rFont val="Calibri"/>
            <family val="2"/>
            <scheme val="minor"/>
          </rPr>
          <t>Seleccione un valor de la lista</t>
        </r>
      </text>
    </comment>
    <comment ref="F1290" authorId="2" shapeId="0" xr:uid="{00000000-0006-0000-0100-000018050000}">
      <text>
        <r>
          <rPr>
            <sz val="11"/>
            <color theme="1"/>
            <rFont val="Calibri"/>
            <family val="2"/>
            <scheme val="minor"/>
          </rPr>
          <t>Introduzca el código SNIP</t>
        </r>
      </text>
    </comment>
    <comment ref="C1291" authorId="2" shapeId="0" xr:uid="{00000000-0006-0000-0100-000019050000}">
      <text>
        <r>
          <rPr>
            <sz val="11"/>
            <color theme="1"/>
            <rFont val="Calibri"/>
            <family val="2"/>
            <scheme val="minor"/>
          </rPr>
          <t>Introduzca la fecha de inicio del proceso, en formato dd-mm-aaaa</t>
        </r>
      </text>
    </comment>
    <comment ref="F1291"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2" shapeId="0" xr:uid="{00000000-0006-0000-0100-00001B050000}">
      <text/>
    </comment>
    <comment ref="C1293" authorId="2" shapeId="0" xr:uid="{00000000-0006-0000-0100-00001C050000}">
      <text>
        <r>
          <rPr>
            <sz val="11"/>
            <color theme="1"/>
            <rFont val="Calibri"/>
            <family val="2"/>
            <scheme val="minor"/>
          </rPr>
          <t>Introduzca la fecha prevista de adjudicación, en formato dd-mm-aaaa</t>
        </r>
      </text>
    </comment>
    <comment ref="F1293" authorId="2" shapeId="0" xr:uid="{00000000-0006-0000-0100-00001D050000}">
      <text/>
    </comment>
    <comment ref="F1294" authorId="2" shapeId="0" xr:uid="{00000000-0006-0000-0100-00001E050000}">
      <text/>
    </comment>
    <comment ref="A1296" authorId="2" shapeId="0" xr:uid="{00000000-0006-0000-0100-00001F050000}">
      <text>
        <r>
          <rPr>
            <sz val="11"/>
            <color theme="1"/>
            <rFont val="Calibri"/>
            <family val="2"/>
            <scheme val="minor"/>
          </rPr>
          <t>Introduzca un codigo UNSPSC</t>
        </r>
      </text>
    </comment>
    <comment ref="B1296" authorId="2" shapeId="0" xr:uid="{00000000-0006-0000-0100-000020050000}">
      <text>
        <r>
          <rPr>
            <sz val="11"/>
            <color theme="1"/>
            <rFont val="Calibri"/>
            <family val="2"/>
            <scheme val="minor"/>
          </rPr>
          <t>Descripción calculada automáticamente a partir de código del artículo</t>
        </r>
      </text>
    </comment>
    <comment ref="C1296" authorId="2" shapeId="0" xr:uid="{00000000-0006-0000-0100-000021050000}">
      <text>
        <r>
          <rPr>
            <sz val="11"/>
            <color theme="1"/>
            <rFont val="Calibri"/>
            <family val="2"/>
            <scheme val="minor"/>
          </rPr>
          <t>Seleccione un valor de la lista</t>
        </r>
      </text>
    </comment>
    <comment ref="D1296" authorId="2" shapeId="0" xr:uid="{00000000-0006-0000-0100-000022050000}">
      <text>
        <r>
          <rPr>
            <sz val="11"/>
            <color theme="1"/>
            <rFont val="Calibri"/>
            <family val="2"/>
            <scheme val="minor"/>
          </rPr>
          <t>Introduzca un número con dos decimales como máximo. Debe ser igual o mayor a la "Cantidad Real Consumida"</t>
        </r>
      </text>
    </comment>
    <comment ref="E1296" authorId="2" shapeId="0" xr:uid="{00000000-0006-0000-0100-000023050000}">
      <text>
        <r>
          <rPr>
            <sz val="11"/>
            <color theme="1"/>
            <rFont val="Calibri"/>
            <family val="2"/>
            <scheme val="minor"/>
          </rPr>
          <t>Introduzca un número con dos decimales como máximo</t>
        </r>
      </text>
    </comment>
    <comment ref="F1296" authorId="2" shapeId="0" xr:uid="{00000000-0006-0000-0100-000024050000}">
      <text>
        <r>
          <rPr>
            <sz val="11"/>
            <color theme="1"/>
            <rFont val="Calibri"/>
            <family val="2"/>
            <scheme val="minor"/>
          </rPr>
          <t>Monto calculado automáticamente por el sistema</t>
        </r>
      </text>
    </comment>
    <comment ref="A1302" authorId="2" shapeId="0" xr:uid="{00000000-0006-0000-0100-000025050000}">
      <text>
        <r>
          <rPr>
            <sz val="11"/>
            <color theme="1"/>
            <rFont val="Calibri"/>
            <family val="2"/>
            <scheme val="minor"/>
          </rPr>
          <t>Introducir un texto con el nombre o referencia de la contratación</t>
        </r>
      </text>
    </comment>
    <comment ref="B1302" authorId="2" shapeId="0" xr:uid="{00000000-0006-0000-0100-000026050000}">
      <text>
        <r>
          <rPr>
            <sz val="11"/>
            <color theme="1"/>
            <rFont val="Calibri"/>
            <family val="2"/>
            <scheme val="minor"/>
          </rPr>
          <t>Introduzca un texto con la finalidad de la contratación</t>
        </r>
      </text>
    </comment>
    <comment ref="C1302" authorId="2" shapeId="0" xr:uid="{00000000-0006-0000-0100-000027050000}">
      <text>
        <r>
          <rPr>
            <sz val="11"/>
            <color theme="1"/>
            <rFont val="Calibri"/>
            <family val="2"/>
            <scheme val="minor"/>
          </rPr>
          <t>Seleccionar un valor del listado</t>
        </r>
      </text>
    </comment>
    <comment ref="D1302" authorId="2" shapeId="0" xr:uid="{00000000-0006-0000-0100-000028050000}">
      <text>
        <r>
          <rPr>
            <sz val="11"/>
            <color theme="1"/>
            <rFont val="Calibri"/>
            <family val="2"/>
            <scheme val="minor"/>
          </rPr>
          <t>Seleccione el tipo de procedimiento</t>
        </r>
      </text>
    </comment>
    <comment ref="E1302" authorId="2" shapeId="0" xr:uid="{00000000-0006-0000-0100-000029050000}">
      <text>
        <r>
          <rPr>
            <sz val="11"/>
            <color theme="1"/>
            <rFont val="Calibri"/>
            <family val="2"/>
            <scheme val="minor"/>
          </rPr>
          <t>Seleccione un valor de la lista</t>
        </r>
      </text>
    </comment>
    <comment ref="F1302" authorId="2" shapeId="0" xr:uid="{00000000-0006-0000-0100-00002A050000}">
      <text>
        <r>
          <rPr>
            <sz val="11"/>
            <color theme="1"/>
            <rFont val="Calibri"/>
            <family val="2"/>
            <scheme val="minor"/>
          </rPr>
          <t>Introduzca el código SNIP</t>
        </r>
      </text>
    </comment>
    <comment ref="C1303" authorId="2" shapeId="0" xr:uid="{00000000-0006-0000-0100-00002B050000}">
      <text>
        <r>
          <rPr>
            <sz val="11"/>
            <color theme="1"/>
            <rFont val="Calibri"/>
            <family val="2"/>
            <scheme val="minor"/>
          </rPr>
          <t>Introduzca la fecha de inicio del proceso, en formato dd-mm-aaaa</t>
        </r>
      </text>
    </comment>
    <comment ref="F1303"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2" shapeId="0" xr:uid="{00000000-0006-0000-0100-00002D050000}">
      <text/>
    </comment>
    <comment ref="C1305" authorId="2" shapeId="0" xr:uid="{00000000-0006-0000-0100-00002E050000}">
      <text>
        <r>
          <rPr>
            <sz val="11"/>
            <color theme="1"/>
            <rFont val="Calibri"/>
            <family val="2"/>
            <scheme val="minor"/>
          </rPr>
          <t>Introduzca la fecha prevista de adjudicación, en formato dd-mm-aaaa</t>
        </r>
      </text>
    </comment>
    <comment ref="F1305" authorId="2" shapeId="0" xr:uid="{00000000-0006-0000-0100-00002F050000}">
      <text/>
    </comment>
    <comment ref="F1306" authorId="2" shapeId="0" xr:uid="{00000000-0006-0000-0100-000030050000}">
      <text/>
    </comment>
    <comment ref="A1308" authorId="2" shapeId="0" xr:uid="{00000000-0006-0000-0100-000031050000}">
      <text>
        <r>
          <rPr>
            <sz val="11"/>
            <color theme="1"/>
            <rFont val="Calibri"/>
            <family val="2"/>
            <scheme val="minor"/>
          </rPr>
          <t>Introduzca un codigo UNSPSC</t>
        </r>
      </text>
    </comment>
    <comment ref="B1308" authorId="2" shapeId="0" xr:uid="{00000000-0006-0000-0100-000032050000}">
      <text>
        <r>
          <rPr>
            <sz val="11"/>
            <color theme="1"/>
            <rFont val="Calibri"/>
            <family val="2"/>
            <scheme val="minor"/>
          </rPr>
          <t>Descripción calculada automáticamente a partir de código del artículo</t>
        </r>
      </text>
    </comment>
    <comment ref="C1308" authorId="2" shapeId="0" xr:uid="{00000000-0006-0000-0100-000033050000}">
      <text>
        <r>
          <rPr>
            <sz val="11"/>
            <color theme="1"/>
            <rFont val="Calibri"/>
            <family val="2"/>
            <scheme val="minor"/>
          </rPr>
          <t>Seleccione un valor de la lista</t>
        </r>
      </text>
    </comment>
    <comment ref="D1308" authorId="2" shapeId="0" xr:uid="{00000000-0006-0000-0100-000034050000}">
      <text>
        <r>
          <rPr>
            <sz val="11"/>
            <color theme="1"/>
            <rFont val="Calibri"/>
            <family val="2"/>
            <scheme val="minor"/>
          </rPr>
          <t>Introduzca un número con dos decimales como máximo. Debe ser igual o mayor a la "Cantidad Real Consumida"</t>
        </r>
      </text>
    </comment>
    <comment ref="E1308" authorId="2" shapeId="0" xr:uid="{00000000-0006-0000-0100-000035050000}">
      <text>
        <r>
          <rPr>
            <sz val="11"/>
            <color theme="1"/>
            <rFont val="Calibri"/>
            <family val="2"/>
            <scheme val="minor"/>
          </rPr>
          <t>Introduzca un número con dos decimales como máximo</t>
        </r>
      </text>
    </comment>
    <comment ref="F1308" authorId="2" shapeId="0" xr:uid="{00000000-0006-0000-0100-000036050000}">
      <text>
        <r>
          <rPr>
            <sz val="11"/>
            <color theme="1"/>
            <rFont val="Calibri"/>
            <family val="2"/>
            <scheme val="minor"/>
          </rPr>
          <t>Monto calculado automáticamente por el sistema</t>
        </r>
      </text>
    </comment>
    <comment ref="A1314" authorId="2" shapeId="0" xr:uid="{00000000-0006-0000-0100-000037050000}">
      <text>
        <r>
          <rPr>
            <sz val="11"/>
            <color theme="1"/>
            <rFont val="Calibri"/>
            <family val="2"/>
            <scheme val="minor"/>
          </rPr>
          <t>Introducir un texto con el nombre o referencia de la contratación</t>
        </r>
      </text>
    </comment>
    <comment ref="B1314" authorId="2" shapeId="0" xr:uid="{00000000-0006-0000-0100-000038050000}">
      <text>
        <r>
          <rPr>
            <sz val="11"/>
            <color theme="1"/>
            <rFont val="Calibri"/>
            <family val="2"/>
            <scheme val="minor"/>
          </rPr>
          <t>Introduzca un texto con la finalidad de la contratación</t>
        </r>
      </text>
    </comment>
    <comment ref="C1314" authorId="2" shapeId="0" xr:uid="{00000000-0006-0000-0100-000039050000}">
      <text>
        <r>
          <rPr>
            <sz val="11"/>
            <color theme="1"/>
            <rFont val="Calibri"/>
            <family val="2"/>
            <scheme val="minor"/>
          </rPr>
          <t>Seleccionar un valor del listado</t>
        </r>
      </text>
    </comment>
    <comment ref="D1314" authorId="2" shapeId="0" xr:uid="{00000000-0006-0000-0100-00003A050000}">
      <text>
        <r>
          <rPr>
            <sz val="11"/>
            <color theme="1"/>
            <rFont val="Calibri"/>
            <family val="2"/>
            <scheme val="minor"/>
          </rPr>
          <t>Seleccione el tipo de procedimiento</t>
        </r>
      </text>
    </comment>
    <comment ref="E1314" authorId="2" shapeId="0" xr:uid="{00000000-0006-0000-0100-00003B050000}">
      <text>
        <r>
          <rPr>
            <sz val="11"/>
            <color theme="1"/>
            <rFont val="Calibri"/>
            <family val="2"/>
            <scheme val="minor"/>
          </rPr>
          <t>Seleccione un valor de la lista</t>
        </r>
      </text>
    </comment>
    <comment ref="F1314" authorId="2" shapeId="0" xr:uid="{00000000-0006-0000-0100-00003C050000}">
      <text>
        <r>
          <rPr>
            <sz val="11"/>
            <color theme="1"/>
            <rFont val="Calibri"/>
            <family val="2"/>
            <scheme val="minor"/>
          </rPr>
          <t>Introduzca el código SNIP</t>
        </r>
      </text>
    </comment>
    <comment ref="C1315" authorId="2" shapeId="0" xr:uid="{00000000-0006-0000-0100-00003D050000}">
      <text>
        <r>
          <rPr>
            <sz val="11"/>
            <color theme="1"/>
            <rFont val="Calibri"/>
            <family val="2"/>
            <scheme val="minor"/>
          </rPr>
          <t>Introduzca la fecha de inicio del proceso, en formato dd-mm-aaaa</t>
        </r>
      </text>
    </comment>
    <comment ref="F1315"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2" shapeId="0" xr:uid="{00000000-0006-0000-0100-00003F050000}">
      <text/>
    </comment>
    <comment ref="C1317" authorId="2" shapeId="0" xr:uid="{00000000-0006-0000-0100-000040050000}">
      <text>
        <r>
          <rPr>
            <sz val="11"/>
            <color theme="1"/>
            <rFont val="Calibri"/>
            <family val="2"/>
            <scheme val="minor"/>
          </rPr>
          <t>Introduzca la fecha prevista de adjudicación, en formato dd-mm-aaaa</t>
        </r>
      </text>
    </comment>
    <comment ref="F1317" authorId="2" shapeId="0" xr:uid="{00000000-0006-0000-0100-000041050000}">
      <text/>
    </comment>
    <comment ref="F1318" authorId="2" shapeId="0" xr:uid="{00000000-0006-0000-0100-000042050000}">
      <text/>
    </comment>
    <comment ref="A1320" authorId="2" shapeId="0" xr:uid="{00000000-0006-0000-0100-000043050000}">
      <text>
        <r>
          <rPr>
            <sz val="11"/>
            <color theme="1"/>
            <rFont val="Calibri"/>
            <family val="2"/>
            <scheme val="minor"/>
          </rPr>
          <t>Introduzca un codigo UNSPSC</t>
        </r>
      </text>
    </comment>
    <comment ref="B1320" authorId="2" shapeId="0" xr:uid="{00000000-0006-0000-0100-000044050000}">
      <text>
        <r>
          <rPr>
            <sz val="11"/>
            <color theme="1"/>
            <rFont val="Calibri"/>
            <family val="2"/>
            <scheme val="minor"/>
          </rPr>
          <t>Descripción calculada automáticamente a partir de código del artículo</t>
        </r>
      </text>
    </comment>
    <comment ref="C1320" authorId="2" shapeId="0" xr:uid="{00000000-0006-0000-0100-000045050000}">
      <text>
        <r>
          <rPr>
            <sz val="11"/>
            <color theme="1"/>
            <rFont val="Calibri"/>
            <family val="2"/>
            <scheme val="minor"/>
          </rPr>
          <t>Seleccione un valor de la lista</t>
        </r>
      </text>
    </comment>
    <comment ref="D1320" authorId="2" shapeId="0" xr:uid="{00000000-0006-0000-0100-000046050000}">
      <text>
        <r>
          <rPr>
            <sz val="11"/>
            <color theme="1"/>
            <rFont val="Calibri"/>
            <family val="2"/>
            <scheme val="minor"/>
          </rPr>
          <t>Introduzca un número con dos decimales como máximo. Debe ser igual o mayor a la "Cantidad Real Consumida"</t>
        </r>
      </text>
    </comment>
    <comment ref="E1320" authorId="2" shapeId="0" xr:uid="{00000000-0006-0000-0100-000047050000}">
      <text>
        <r>
          <rPr>
            <sz val="11"/>
            <color theme="1"/>
            <rFont val="Calibri"/>
            <family val="2"/>
            <scheme val="minor"/>
          </rPr>
          <t>Introduzca un número con dos decimales como máximo</t>
        </r>
      </text>
    </comment>
    <comment ref="F1320" authorId="2" shapeId="0" xr:uid="{00000000-0006-0000-0100-000048050000}">
      <text>
        <r>
          <rPr>
            <sz val="11"/>
            <color theme="1"/>
            <rFont val="Calibri"/>
            <family val="2"/>
            <scheme val="minor"/>
          </rPr>
          <t>Monto calculado automáticamente por el sistema</t>
        </r>
      </text>
    </comment>
    <comment ref="A1326" authorId="2" shapeId="0" xr:uid="{00000000-0006-0000-0100-000049050000}">
      <text>
        <r>
          <rPr>
            <sz val="11"/>
            <color theme="1"/>
            <rFont val="Calibri"/>
            <family val="2"/>
            <scheme val="minor"/>
          </rPr>
          <t>Introducir un texto con el nombre o referencia de la contratación</t>
        </r>
      </text>
    </comment>
    <comment ref="B1326" authorId="2" shapeId="0" xr:uid="{00000000-0006-0000-0100-00004A050000}">
      <text>
        <r>
          <rPr>
            <sz val="11"/>
            <color theme="1"/>
            <rFont val="Calibri"/>
            <family val="2"/>
            <scheme val="minor"/>
          </rPr>
          <t>Introduzca un texto con la finalidad de la contratación</t>
        </r>
      </text>
    </comment>
    <comment ref="C1326" authorId="2" shapeId="0" xr:uid="{00000000-0006-0000-0100-00004B050000}">
      <text>
        <r>
          <rPr>
            <sz val="11"/>
            <color theme="1"/>
            <rFont val="Calibri"/>
            <family val="2"/>
            <scheme val="minor"/>
          </rPr>
          <t>Seleccionar un valor del listado</t>
        </r>
      </text>
    </comment>
    <comment ref="D1326" authorId="2" shapeId="0" xr:uid="{00000000-0006-0000-0100-00004C050000}">
      <text>
        <r>
          <rPr>
            <sz val="11"/>
            <color theme="1"/>
            <rFont val="Calibri"/>
            <family val="2"/>
            <scheme val="minor"/>
          </rPr>
          <t>Seleccione el tipo de procedimiento</t>
        </r>
      </text>
    </comment>
    <comment ref="E1326" authorId="2" shapeId="0" xr:uid="{00000000-0006-0000-0100-00004D050000}">
      <text>
        <r>
          <rPr>
            <sz val="11"/>
            <color theme="1"/>
            <rFont val="Calibri"/>
            <family val="2"/>
            <scheme val="minor"/>
          </rPr>
          <t>Seleccione un valor de la lista</t>
        </r>
      </text>
    </comment>
    <comment ref="F1326" authorId="2" shapeId="0" xr:uid="{00000000-0006-0000-0100-00004E050000}">
      <text>
        <r>
          <rPr>
            <sz val="11"/>
            <color theme="1"/>
            <rFont val="Calibri"/>
            <family val="2"/>
            <scheme val="minor"/>
          </rPr>
          <t>Introduzca el código SNIP</t>
        </r>
      </text>
    </comment>
    <comment ref="C1327" authorId="2" shapeId="0" xr:uid="{00000000-0006-0000-0100-00004F050000}">
      <text>
        <r>
          <rPr>
            <sz val="11"/>
            <color theme="1"/>
            <rFont val="Calibri"/>
            <family val="2"/>
            <scheme val="minor"/>
          </rPr>
          <t>Introduzca la fecha de inicio del proceso, en formato dd-mm-aaaa</t>
        </r>
      </text>
    </comment>
    <comment ref="F1327"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2" shapeId="0" xr:uid="{00000000-0006-0000-0100-000051050000}">
      <text/>
    </comment>
    <comment ref="C1329" authorId="2" shapeId="0" xr:uid="{00000000-0006-0000-0100-000052050000}">
      <text>
        <r>
          <rPr>
            <sz val="11"/>
            <color theme="1"/>
            <rFont val="Calibri"/>
            <family val="2"/>
            <scheme val="minor"/>
          </rPr>
          <t>Introduzca la fecha prevista de adjudicación, en formato dd-mm-aaaa</t>
        </r>
      </text>
    </comment>
    <comment ref="F1329" authorId="2" shapeId="0" xr:uid="{00000000-0006-0000-0100-000053050000}">
      <text/>
    </comment>
    <comment ref="F1330" authorId="2" shapeId="0" xr:uid="{00000000-0006-0000-0100-000054050000}">
      <text/>
    </comment>
    <comment ref="A1332" authorId="2" shapeId="0" xr:uid="{00000000-0006-0000-0100-000055050000}">
      <text>
        <r>
          <rPr>
            <sz val="11"/>
            <color theme="1"/>
            <rFont val="Calibri"/>
            <family val="2"/>
            <scheme val="minor"/>
          </rPr>
          <t>Introduzca un codigo UNSPSC</t>
        </r>
      </text>
    </comment>
    <comment ref="B1332" authorId="2" shapeId="0" xr:uid="{00000000-0006-0000-0100-000056050000}">
      <text>
        <r>
          <rPr>
            <sz val="11"/>
            <color theme="1"/>
            <rFont val="Calibri"/>
            <family val="2"/>
            <scheme val="minor"/>
          </rPr>
          <t>Descripción calculada automáticamente a partir de código del artículo</t>
        </r>
      </text>
    </comment>
    <comment ref="C1332" authorId="2" shapeId="0" xr:uid="{00000000-0006-0000-0100-000057050000}">
      <text>
        <r>
          <rPr>
            <sz val="11"/>
            <color theme="1"/>
            <rFont val="Calibri"/>
            <family val="2"/>
            <scheme val="minor"/>
          </rPr>
          <t>Seleccione un valor de la lista</t>
        </r>
      </text>
    </comment>
    <comment ref="D1332" authorId="2" shapeId="0" xr:uid="{00000000-0006-0000-0100-000058050000}">
      <text>
        <r>
          <rPr>
            <sz val="11"/>
            <color theme="1"/>
            <rFont val="Calibri"/>
            <family val="2"/>
            <scheme val="minor"/>
          </rPr>
          <t>Introduzca un número con dos decimales como máximo. Debe ser igual o mayor a la "Cantidad Real Consumida"</t>
        </r>
      </text>
    </comment>
    <comment ref="E1332" authorId="2" shapeId="0" xr:uid="{00000000-0006-0000-0100-000059050000}">
      <text>
        <r>
          <rPr>
            <sz val="11"/>
            <color theme="1"/>
            <rFont val="Calibri"/>
            <family val="2"/>
            <scheme val="minor"/>
          </rPr>
          <t>Introduzca un número con dos decimales como máximo</t>
        </r>
      </text>
    </comment>
    <comment ref="F1332" authorId="2" shapeId="0" xr:uid="{00000000-0006-0000-0100-00005A050000}">
      <text>
        <r>
          <rPr>
            <sz val="11"/>
            <color theme="1"/>
            <rFont val="Calibri"/>
            <family val="2"/>
            <scheme val="minor"/>
          </rPr>
          <t>Monto calculado automáticamente por el sistema</t>
        </r>
      </text>
    </comment>
    <comment ref="A1338" authorId="2" shapeId="0" xr:uid="{00000000-0006-0000-0100-00005B050000}">
      <text>
        <r>
          <rPr>
            <sz val="11"/>
            <color theme="1"/>
            <rFont val="Calibri"/>
            <family val="2"/>
            <scheme val="minor"/>
          </rPr>
          <t>Introducir un texto con el nombre o referencia de la contratación</t>
        </r>
      </text>
    </comment>
    <comment ref="B1338" authorId="2" shapeId="0" xr:uid="{00000000-0006-0000-0100-00005C050000}">
      <text>
        <r>
          <rPr>
            <sz val="11"/>
            <color theme="1"/>
            <rFont val="Calibri"/>
            <family val="2"/>
            <scheme val="minor"/>
          </rPr>
          <t>Introduzca un texto con la finalidad de la contratación</t>
        </r>
      </text>
    </comment>
    <comment ref="C1338" authorId="2" shapeId="0" xr:uid="{00000000-0006-0000-0100-00005D050000}">
      <text>
        <r>
          <rPr>
            <sz val="11"/>
            <color theme="1"/>
            <rFont val="Calibri"/>
            <family val="2"/>
            <scheme val="minor"/>
          </rPr>
          <t>Seleccionar un valor del listado</t>
        </r>
      </text>
    </comment>
    <comment ref="D1338" authorId="2" shapeId="0" xr:uid="{00000000-0006-0000-0100-00005E050000}">
      <text>
        <r>
          <rPr>
            <sz val="11"/>
            <color theme="1"/>
            <rFont val="Calibri"/>
            <family val="2"/>
            <scheme val="minor"/>
          </rPr>
          <t>Seleccione el tipo de procedimiento</t>
        </r>
      </text>
    </comment>
    <comment ref="E1338" authorId="2" shapeId="0" xr:uid="{00000000-0006-0000-0100-00005F050000}">
      <text>
        <r>
          <rPr>
            <sz val="11"/>
            <color theme="1"/>
            <rFont val="Calibri"/>
            <family val="2"/>
            <scheme val="minor"/>
          </rPr>
          <t>Seleccione un valor de la lista</t>
        </r>
      </text>
    </comment>
    <comment ref="F1338" authorId="2" shapeId="0" xr:uid="{00000000-0006-0000-0100-000060050000}">
      <text>
        <r>
          <rPr>
            <sz val="11"/>
            <color theme="1"/>
            <rFont val="Calibri"/>
            <family val="2"/>
            <scheme val="minor"/>
          </rPr>
          <t>Introduzca el código SNIP</t>
        </r>
      </text>
    </comment>
    <comment ref="C1339" authorId="2" shapeId="0" xr:uid="{00000000-0006-0000-0100-000061050000}">
      <text>
        <r>
          <rPr>
            <sz val="11"/>
            <color theme="1"/>
            <rFont val="Calibri"/>
            <family val="2"/>
            <scheme val="minor"/>
          </rPr>
          <t>Introduzca la fecha de inicio del proceso, en formato dd-mm-aaaa</t>
        </r>
      </text>
    </comment>
    <comment ref="F1339"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00000000-0006-0000-0100-000063050000}">
      <text/>
    </comment>
    <comment ref="C1341" authorId="2" shapeId="0" xr:uid="{00000000-0006-0000-0100-000064050000}">
      <text>
        <r>
          <rPr>
            <sz val="11"/>
            <color theme="1"/>
            <rFont val="Calibri"/>
            <family val="2"/>
            <scheme val="minor"/>
          </rPr>
          <t>Introduzca la fecha prevista de adjudicación, en formato dd-mm-aaaa</t>
        </r>
      </text>
    </comment>
    <comment ref="F1341" authorId="2" shapeId="0" xr:uid="{00000000-0006-0000-0100-000065050000}">
      <text/>
    </comment>
    <comment ref="F1342" authorId="2" shapeId="0" xr:uid="{00000000-0006-0000-0100-000066050000}">
      <text/>
    </comment>
    <comment ref="A1344" authorId="2" shapeId="0" xr:uid="{00000000-0006-0000-0100-000067050000}">
      <text>
        <r>
          <rPr>
            <sz val="11"/>
            <color theme="1"/>
            <rFont val="Calibri"/>
            <family val="2"/>
            <scheme val="minor"/>
          </rPr>
          <t>Introduzca un codigo UNSPSC</t>
        </r>
      </text>
    </comment>
    <comment ref="B1344" authorId="2" shapeId="0" xr:uid="{00000000-0006-0000-0100-000068050000}">
      <text>
        <r>
          <rPr>
            <sz val="11"/>
            <color theme="1"/>
            <rFont val="Calibri"/>
            <family val="2"/>
            <scheme val="minor"/>
          </rPr>
          <t>Descripción calculada automáticamente a partir de código del artículo</t>
        </r>
      </text>
    </comment>
    <comment ref="C1344" authorId="2" shapeId="0" xr:uid="{00000000-0006-0000-0100-000069050000}">
      <text>
        <r>
          <rPr>
            <sz val="11"/>
            <color theme="1"/>
            <rFont val="Calibri"/>
            <family val="2"/>
            <scheme val="minor"/>
          </rPr>
          <t>Seleccione un valor de la lista</t>
        </r>
      </text>
    </comment>
    <comment ref="D1344" authorId="2" shapeId="0" xr:uid="{00000000-0006-0000-0100-00006A050000}">
      <text>
        <r>
          <rPr>
            <sz val="11"/>
            <color theme="1"/>
            <rFont val="Calibri"/>
            <family val="2"/>
            <scheme val="minor"/>
          </rPr>
          <t>Introduzca un número con dos decimales como máximo. Debe ser igual o mayor a la "Cantidad Real Consumida"</t>
        </r>
      </text>
    </comment>
    <comment ref="E1344" authorId="2" shapeId="0" xr:uid="{00000000-0006-0000-0100-00006B050000}">
      <text>
        <r>
          <rPr>
            <sz val="11"/>
            <color theme="1"/>
            <rFont val="Calibri"/>
            <family val="2"/>
            <scheme val="minor"/>
          </rPr>
          <t>Introduzca un número con dos decimales como máximo</t>
        </r>
      </text>
    </comment>
    <comment ref="F1344" authorId="2" shapeId="0" xr:uid="{00000000-0006-0000-0100-00006C050000}">
      <text>
        <r>
          <rPr>
            <sz val="11"/>
            <color theme="1"/>
            <rFont val="Calibri"/>
            <family val="2"/>
            <scheme val="minor"/>
          </rPr>
          <t>Monto calculado automáticamente por el sistema</t>
        </r>
      </text>
    </comment>
    <comment ref="A1350" authorId="2" shapeId="0" xr:uid="{00000000-0006-0000-0100-00006D050000}">
      <text>
        <r>
          <rPr>
            <sz val="11"/>
            <color theme="1"/>
            <rFont val="Calibri"/>
            <family val="2"/>
            <scheme val="minor"/>
          </rPr>
          <t>Introducir un texto con el nombre o referencia de la contratación</t>
        </r>
      </text>
    </comment>
    <comment ref="B1350" authorId="2" shapeId="0" xr:uid="{00000000-0006-0000-0100-00006E050000}">
      <text>
        <r>
          <rPr>
            <sz val="11"/>
            <color theme="1"/>
            <rFont val="Calibri"/>
            <family val="2"/>
            <scheme val="minor"/>
          </rPr>
          <t>Introduzca un texto con la finalidad de la contratación</t>
        </r>
      </text>
    </comment>
    <comment ref="C1350" authorId="2" shapeId="0" xr:uid="{00000000-0006-0000-0100-00006F050000}">
      <text>
        <r>
          <rPr>
            <sz val="11"/>
            <color theme="1"/>
            <rFont val="Calibri"/>
            <family val="2"/>
            <scheme val="minor"/>
          </rPr>
          <t>Seleccionar un valor del listado</t>
        </r>
      </text>
    </comment>
    <comment ref="D1350" authorId="2" shapeId="0" xr:uid="{00000000-0006-0000-0100-000070050000}">
      <text>
        <r>
          <rPr>
            <sz val="11"/>
            <color theme="1"/>
            <rFont val="Calibri"/>
            <family val="2"/>
            <scheme val="minor"/>
          </rPr>
          <t>Seleccione el tipo de procedimiento</t>
        </r>
      </text>
    </comment>
    <comment ref="E1350" authorId="2" shapeId="0" xr:uid="{00000000-0006-0000-0100-000071050000}">
      <text>
        <r>
          <rPr>
            <sz val="11"/>
            <color theme="1"/>
            <rFont val="Calibri"/>
            <family val="2"/>
            <scheme val="minor"/>
          </rPr>
          <t>Seleccione un valor de la lista</t>
        </r>
      </text>
    </comment>
    <comment ref="F1350" authorId="2" shapeId="0" xr:uid="{00000000-0006-0000-0100-000072050000}">
      <text>
        <r>
          <rPr>
            <sz val="11"/>
            <color theme="1"/>
            <rFont val="Calibri"/>
            <family val="2"/>
            <scheme val="minor"/>
          </rPr>
          <t>Introduzca el código SNIP</t>
        </r>
      </text>
    </comment>
    <comment ref="C1351" authorId="2" shapeId="0" xr:uid="{00000000-0006-0000-0100-000073050000}">
      <text>
        <r>
          <rPr>
            <sz val="11"/>
            <color theme="1"/>
            <rFont val="Calibri"/>
            <family val="2"/>
            <scheme val="minor"/>
          </rPr>
          <t>Introduzca la fecha de inicio del proceso, en formato dd-mm-aaaa</t>
        </r>
      </text>
    </comment>
    <comment ref="F1351"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xr:uid="{00000000-0006-0000-0100-000075050000}">
      <text/>
    </comment>
    <comment ref="C1353" authorId="2" shapeId="0" xr:uid="{00000000-0006-0000-0100-000076050000}">
      <text>
        <r>
          <rPr>
            <sz val="11"/>
            <color theme="1"/>
            <rFont val="Calibri"/>
            <family val="2"/>
            <scheme val="minor"/>
          </rPr>
          <t>Introduzca la fecha prevista de adjudicación, en formato dd-mm-aaaa</t>
        </r>
      </text>
    </comment>
    <comment ref="F1353" authorId="2" shapeId="0" xr:uid="{00000000-0006-0000-0100-000077050000}">
      <text/>
    </comment>
    <comment ref="F1354" authorId="2" shapeId="0" xr:uid="{00000000-0006-0000-0100-000078050000}">
      <text/>
    </comment>
    <comment ref="A1356" authorId="2" shapeId="0" xr:uid="{00000000-0006-0000-0100-000079050000}">
      <text>
        <r>
          <rPr>
            <sz val="11"/>
            <color theme="1"/>
            <rFont val="Calibri"/>
            <family val="2"/>
            <scheme val="minor"/>
          </rPr>
          <t>Introduzca un codigo UNSPSC</t>
        </r>
      </text>
    </comment>
    <comment ref="B1356" authorId="2" shapeId="0" xr:uid="{00000000-0006-0000-0100-00007A050000}">
      <text>
        <r>
          <rPr>
            <sz val="11"/>
            <color theme="1"/>
            <rFont val="Calibri"/>
            <family val="2"/>
            <scheme val="minor"/>
          </rPr>
          <t>Descripción calculada automáticamente a partir de código del artículo</t>
        </r>
      </text>
    </comment>
    <comment ref="C1356" authorId="2" shapeId="0" xr:uid="{00000000-0006-0000-0100-00007B050000}">
      <text>
        <r>
          <rPr>
            <sz val="11"/>
            <color theme="1"/>
            <rFont val="Calibri"/>
            <family val="2"/>
            <scheme val="minor"/>
          </rPr>
          <t>Seleccione un valor de la lista</t>
        </r>
      </text>
    </comment>
    <comment ref="D1356" authorId="2" shapeId="0" xr:uid="{00000000-0006-0000-0100-00007C050000}">
      <text>
        <r>
          <rPr>
            <sz val="11"/>
            <color theme="1"/>
            <rFont val="Calibri"/>
            <family val="2"/>
            <scheme val="minor"/>
          </rPr>
          <t>Introduzca un número con dos decimales como máximo. Debe ser igual o mayor a la "Cantidad Real Consumida"</t>
        </r>
      </text>
    </comment>
    <comment ref="E1356" authorId="2" shapeId="0" xr:uid="{00000000-0006-0000-0100-00007D050000}">
      <text>
        <r>
          <rPr>
            <sz val="11"/>
            <color theme="1"/>
            <rFont val="Calibri"/>
            <family val="2"/>
            <scheme val="minor"/>
          </rPr>
          <t>Introduzca un número con dos decimales como máximo</t>
        </r>
      </text>
    </comment>
    <comment ref="F1356" authorId="2" shapeId="0" xr:uid="{00000000-0006-0000-0100-00007E050000}">
      <text>
        <r>
          <rPr>
            <sz val="11"/>
            <color theme="1"/>
            <rFont val="Calibri"/>
            <family val="2"/>
            <scheme val="minor"/>
          </rPr>
          <t>Monto calculado automáticamente por el sistema</t>
        </r>
      </text>
    </comment>
    <comment ref="A1362" authorId="2" shapeId="0" xr:uid="{00000000-0006-0000-0100-00007F050000}">
      <text>
        <r>
          <rPr>
            <sz val="11"/>
            <color theme="1"/>
            <rFont val="Calibri"/>
            <family val="2"/>
            <scheme val="minor"/>
          </rPr>
          <t>Introducir un texto con el nombre o referencia de la contratación</t>
        </r>
      </text>
    </comment>
    <comment ref="B1362" authorId="2" shapeId="0" xr:uid="{00000000-0006-0000-0100-000080050000}">
      <text>
        <r>
          <rPr>
            <sz val="11"/>
            <color theme="1"/>
            <rFont val="Calibri"/>
            <family val="2"/>
            <scheme val="minor"/>
          </rPr>
          <t>Introduzca un texto con la finalidad de la contratación</t>
        </r>
      </text>
    </comment>
    <comment ref="C1362" authorId="2" shapeId="0" xr:uid="{00000000-0006-0000-0100-000081050000}">
      <text>
        <r>
          <rPr>
            <sz val="11"/>
            <color theme="1"/>
            <rFont val="Calibri"/>
            <family val="2"/>
            <scheme val="minor"/>
          </rPr>
          <t>Seleccionar un valor del listado</t>
        </r>
      </text>
    </comment>
    <comment ref="D1362" authorId="2" shapeId="0" xr:uid="{00000000-0006-0000-0100-000082050000}">
      <text>
        <r>
          <rPr>
            <sz val="11"/>
            <color theme="1"/>
            <rFont val="Calibri"/>
            <family val="2"/>
            <scheme val="minor"/>
          </rPr>
          <t>Seleccione el tipo de procedimiento</t>
        </r>
      </text>
    </comment>
    <comment ref="E1362" authorId="2" shapeId="0" xr:uid="{00000000-0006-0000-0100-000083050000}">
      <text>
        <r>
          <rPr>
            <sz val="11"/>
            <color theme="1"/>
            <rFont val="Calibri"/>
            <family val="2"/>
            <scheme val="minor"/>
          </rPr>
          <t>Seleccione un valor de la lista</t>
        </r>
      </text>
    </comment>
    <comment ref="F1362" authorId="2" shapeId="0" xr:uid="{00000000-0006-0000-0100-000084050000}">
      <text>
        <r>
          <rPr>
            <sz val="11"/>
            <color theme="1"/>
            <rFont val="Calibri"/>
            <family val="2"/>
            <scheme val="minor"/>
          </rPr>
          <t>Introduzca el código SNIP</t>
        </r>
      </text>
    </comment>
    <comment ref="C1363" authorId="2" shapeId="0" xr:uid="{00000000-0006-0000-0100-000085050000}">
      <text>
        <r>
          <rPr>
            <sz val="11"/>
            <color theme="1"/>
            <rFont val="Calibri"/>
            <family val="2"/>
            <scheme val="minor"/>
          </rPr>
          <t>Introduzca la fecha de inicio del proceso, en formato dd-mm-aaaa</t>
        </r>
      </text>
    </comment>
    <comment ref="F1363"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2" shapeId="0" xr:uid="{00000000-0006-0000-0100-000087050000}">
      <text/>
    </comment>
    <comment ref="C1365" authorId="2" shapeId="0" xr:uid="{00000000-0006-0000-0100-000088050000}">
      <text>
        <r>
          <rPr>
            <sz val="11"/>
            <color theme="1"/>
            <rFont val="Calibri"/>
            <family val="2"/>
            <scheme val="minor"/>
          </rPr>
          <t>Introduzca la fecha prevista de adjudicación, en formato dd-mm-aaaa</t>
        </r>
      </text>
    </comment>
    <comment ref="F1365" authorId="2" shapeId="0" xr:uid="{00000000-0006-0000-0100-000089050000}">
      <text/>
    </comment>
    <comment ref="F1366" authorId="2" shapeId="0" xr:uid="{00000000-0006-0000-0100-00008A050000}">
      <text/>
    </comment>
    <comment ref="A1368" authorId="2" shapeId="0" xr:uid="{00000000-0006-0000-0100-00008B050000}">
      <text>
        <r>
          <rPr>
            <sz val="11"/>
            <color theme="1"/>
            <rFont val="Calibri"/>
            <family val="2"/>
            <scheme val="minor"/>
          </rPr>
          <t>Introduzca un codigo UNSPSC</t>
        </r>
      </text>
    </comment>
    <comment ref="B1368" authorId="2" shapeId="0" xr:uid="{00000000-0006-0000-0100-00008C050000}">
      <text>
        <r>
          <rPr>
            <sz val="11"/>
            <color theme="1"/>
            <rFont val="Calibri"/>
            <family val="2"/>
            <scheme val="minor"/>
          </rPr>
          <t>Descripción calculada automáticamente a partir de código del artículo</t>
        </r>
      </text>
    </comment>
    <comment ref="C1368" authorId="2" shapeId="0" xr:uid="{00000000-0006-0000-0100-00008D050000}">
      <text>
        <r>
          <rPr>
            <sz val="11"/>
            <color theme="1"/>
            <rFont val="Calibri"/>
            <family val="2"/>
            <scheme val="minor"/>
          </rPr>
          <t>Seleccione un valor de la lista</t>
        </r>
      </text>
    </comment>
    <comment ref="D1368" authorId="2" shapeId="0" xr:uid="{00000000-0006-0000-0100-00008E050000}">
      <text>
        <r>
          <rPr>
            <sz val="11"/>
            <color theme="1"/>
            <rFont val="Calibri"/>
            <family val="2"/>
            <scheme val="minor"/>
          </rPr>
          <t>Introduzca un número con dos decimales como máximo. Debe ser igual o mayor a la "Cantidad Real Consumida"</t>
        </r>
      </text>
    </comment>
    <comment ref="E1368" authorId="2" shapeId="0" xr:uid="{00000000-0006-0000-0100-00008F050000}">
      <text>
        <r>
          <rPr>
            <sz val="11"/>
            <color theme="1"/>
            <rFont val="Calibri"/>
            <family val="2"/>
            <scheme val="minor"/>
          </rPr>
          <t>Introduzca un número con dos decimales como máximo</t>
        </r>
      </text>
    </comment>
    <comment ref="F1368" authorId="2" shapeId="0" xr:uid="{00000000-0006-0000-0100-000090050000}">
      <text>
        <r>
          <rPr>
            <sz val="11"/>
            <color theme="1"/>
            <rFont val="Calibri"/>
            <family val="2"/>
            <scheme val="minor"/>
          </rPr>
          <t>Monto calculado automáticamente por el sistema</t>
        </r>
      </text>
    </comment>
    <comment ref="A1374" authorId="2" shapeId="0" xr:uid="{00000000-0006-0000-0100-000091050000}">
      <text>
        <r>
          <rPr>
            <sz val="11"/>
            <color theme="1"/>
            <rFont val="Calibri"/>
            <family val="2"/>
            <scheme val="minor"/>
          </rPr>
          <t>Introducir un texto con el nombre o referencia de la contratación</t>
        </r>
      </text>
    </comment>
    <comment ref="B1374" authorId="2" shapeId="0" xr:uid="{00000000-0006-0000-0100-000092050000}">
      <text>
        <r>
          <rPr>
            <sz val="11"/>
            <color theme="1"/>
            <rFont val="Calibri"/>
            <family val="2"/>
            <scheme val="minor"/>
          </rPr>
          <t>Introduzca un texto con la finalidad de la contratación</t>
        </r>
      </text>
    </comment>
    <comment ref="C1374" authorId="2" shapeId="0" xr:uid="{00000000-0006-0000-0100-000093050000}">
      <text>
        <r>
          <rPr>
            <sz val="11"/>
            <color theme="1"/>
            <rFont val="Calibri"/>
            <family val="2"/>
            <scheme val="minor"/>
          </rPr>
          <t>Seleccionar un valor del listado</t>
        </r>
      </text>
    </comment>
    <comment ref="D1374" authorId="2" shapeId="0" xr:uid="{00000000-0006-0000-0100-000094050000}">
      <text>
        <r>
          <rPr>
            <sz val="11"/>
            <color theme="1"/>
            <rFont val="Calibri"/>
            <family val="2"/>
            <scheme val="minor"/>
          </rPr>
          <t>Seleccione el tipo de procedimiento</t>
        </r>
      </text>
    </comment>
    <comment ref="E1374" authorId="2" shapeId="0" xr:uid="{00000000-0006-0000-0100-000095050000}">
      <text>
        <r>
          <rPr>
            <sz val="11"/>
            <color theme="1"/>
            <rFont val="Calibri"/>
            <family val="2"/>
            <scheme val="minor"/>
          </rPr>
          <t>Seleccione un valor de la lista</t>
        </r>
      </text>
    </comment>
    <comment ref="F1374" authorId="2" shapeId="0" xr:uid="{00000000-0006-0000-0100-000096050000}">
      <text>
        <r>
          <rPr>
            <sz val="11"/>
            <color theme="1"/>
            <rFont val="Calibri"/>
            <family val="2"/>
            <scheme val="minor"/>
          </rPr>
          <t>Introduzca el código SNIP</t>
        </r>
      </text>
    </comment>
    <comment ref="C1375" authorId="2" shapeId="0" xr:uid="{00000000-0006-0000-0100-000097050000}">
      <text>
        <r>
          <rPr>
            <sz val="11"/>
            <color theme="1"/>
            <rFont val="Calibri"/>
            <family val="2"/>
            <scheme val="minor"/>
          </rPr>
          <t>Introduzca la fecha de inicio del proceso, en formato dd-mm-aaaa</t>
        </r>
      </text>
    </comment>
    <comment ref="F1375"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2" shapeId="0" xr:uid="{00000000-0006-0000-0100-000099050000}">
      <text/>
    </comment>
    <comment ref="C1377" authorId="2" shapeId="0" xr:uid="{00000000-0006-0000-0100-00009A050000}">
      <text>
        <r>
          <rPr>
            <sz val="11"/>
            <color theme="1"/>
            <rFont val="Calibri"/>
            <family val="2"/>
            <scheme val="minor"/>
          </rPr>
          <t>Introduzca la fecha prevista de adjudicación, en formato dd-mm-aaaa</t>
        </r>
      </text>
    </comment>
    <comment ref="F1377" authorId="2" shapeId="0" xr:uid="{00000000-0006-0000-0100-00009B050000}">
      <text/>
    </comment>
    <comment ref="F1378" authorId="2" shapeId="0" xr:uid="{00000000-0006-0000-0100-00009C050000}">
      <text/>
    </comment>
    <comment ref="A1380" authorId="2" shapeId="0" xr:uid="{00000000-0006-0000-0100-00009D050000}">
      <text>
        <r>
          <rPr>
            <sz val="11"/>
            <color theme="1"/>
            <rFont val="Calibri"/>
            <family val="2"/>
            <scheme val="minor"/>
          </rPr>
          <t>Introduzca un codigo UNSPSC</t>
        </r>
      </text>
    </comment>
    <comment ref="B1380" authorId="2" shapeId="0" xr:uid="{00000000-0006-0000-0100-00009E050000}">
      <text>
        <r>
          <rPr>
            <sz val="11"/>
            <color theme="1"/>
            <rFont val="Calibri"/>
            <family val="2"/>
            <scheme val="minor"/>
          </rPr>
          <t>Descripción calculada automáticamente a partir de código del artículo</t>
        </r>
      </text>
    </comment>
    <comment ref="C1380" authorId="2" shapeId="0" xr:uid="{00000000-0006-0000-0100-00009F050000}">
      <text>
        <r>
          <rPr>
            <sz val="11"/>
            <color theme="1"/>
            <rFont val="Calibri"/>
            <family val="2"/>
            <scheme val="minor"/>
          </rPr>
          <t>Seleccione un valor de la lista</t>
        </r>
      </text>
    </comment>
    <comment ref="D1380" authorId="2" shapeId="0" xr:uid="{00000000-0006-0000-0100-0000A0050000}">
      <text>
        <r>
          <rPr>
            <sz val="11"/>
            <color theme="1"/>
            <rFont val="Calibri"/>
            <family val="2"/>
            <scheme val="minor"/>
          </rPr>
          <t>Introduzca un número con dos decimales como máximo. Debe ser igual o mayor a la "Cantidad Real Consumida"</t>
        </r>
      </text>
    </comment>
    <comment ref="E1380" authorId="2" shapeId="0" xr:uid="{00000000-0006-0000-0100-0000A1050000}">
      <text>
        <r>
          <rPr>
            <sz val="11"/>
            <color theme="1"/>
            <rFont val="Calibri"/>
            <family val="2"/>
            <scheme val="minor"/>
          </rPr>
          <t>Introduzca un número con dos decimales como máximo</t>
        </r>
      </text>
    </comment>
    <comment ref="F1380" authorId="2" shapeId="0" xr:uid="{00000000-0006-0000-0100-0000A2050000}">
      <text>
        <r>
          <rPr>
            <sz val="11"/>
            <color theme="1"/>
            <rFont val="Calibri"/>
            <family val="2"/>
            <scheme val="minor"/>
          </rPr>
          <t>Monto calculado automáticamente por el sistema</t>
        </r>
      </text>
    </comment>
    <comment ref="A1386" authorId="2" shapeId="0" xr:uid="{00000000-0006-0000-0100-0000A3050000}">
      <text>
        <r>
          <rPr>
            <sz val="11"/>
            <color theme="1"/>
            <rFont val="Calibri"/>
            <family val="2"/>
            <scheme val="minor"/>
          </rPr>
          <t>Introducir un texto con el nombre o referencia de la contratación</t>
        </r>
      </text>
    </comment>
    <comment ref="B1386" authorId="2" shapeId="0" xr:uid="{00000000-0006-0000-0100-0000A4050000}">
      <text>
        <r>
          <rPr>
            <sz val="11"/>
            <color theme="1"/>
            <rFont val="Calibri"/>
            <family val="2"/>
            <scheme val="minor"/>
          </rPr>
          <t>Introduzca un texto con la finalidad de la contratación</t>
        </r>
      </text>
    </comment>
    <comment ref="C1386" authorId="2" shapeId="0" xr:uid="{00000000-0006-0000-0100-0000A5050000}">
      <text>
        <r>
          <rPr>
            <sz val="11"/>
            <color theme="1"/>
            <rFont val="Calibri"/>
            <family val="2"/>
            <scheme val="minor"/>
          </rPr>
          <t>Seleccionar un valor del listado</t>
        </r>
      </text>
    </comment>
    <comment ref="D1386" authorId="2" shapeId="0" xr:uid="{00000000-0006-0000-0100-0000A6050000}">
      <text>
        <r>
          <rPr>
            <sz val="11"/>
            <color theme="1"/>
            <rFont val="Calibri"/>
            <family val="2"/>
            <scheme val="minor"/>
          </rPr>
          <t>Seleccione el tipo de procedimiento</t>
        </r>
      </text>
    </comment>
    <comment ref="E1386" authorId="2" shapeId="0" xr:uid="{00000000-0006-0000-0100-0000A7050000}">
      <text>
        <r>
          <rPr>
            <sz val="11"/>
            <color theme="1"/>
            <rFont val="Calibri"/>
            <family val="2"/>
            <scheme val="minor"/>
          </rPr>
          <t>Seleccione un valor de la lista</t>
        </r>
      </text>
    </comment>
    <comment ref="F1386" authorId="2" shapeId="0" xr:uid="{00000000-0006-0000-0100-0000A8050000}">
      <text>
        <r>
          <rPr>
            <sz val="11"/>
            <color theme="1"/>
            <rFont val="Calibri"/>
            <family val="2"/>
            <scheme val="minor"/>
          </rPr>
          <t>Introduzca el código SNIP</t>
        </r>
      </text>
    </comment>
    <comment ref="C1387" authorId="2" shapeId="0" xr:uid="{00000000-0006-0000-0100-0000A9050000}">
      <text>
        <r>
          <rPr>
            <sz val="11"/>
            <color theme="1"/>
            <rFont val="Calibri"/>
            <family val="2"/>
            <scheme val="minor"/>
          </rPr>
          <t>Introduzca la fecha de inicio del proceso, en formato dd-mm-aaaa</t>
        </r>
      </text>
    </comment>
    <comment ref="F1387"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xr:uid="{00000000-0006-0000-0100-0000AB050000}">
      <text/>
    </comment>
    <comment ref="C1389" authorId="2" shapeId="0" xr:uid="{00000000-0006-0000-0100-0000AC050000}">
      <text>
        <r>
          <rPr>
            <sz val="11"/>
            <color theme="1"/>
            <rFont val="Calibri"/>
            <family val="2"/>
            <scheme val="minor"/>
          </rPr>
          <t>Introduzca la fecha prevista de adjudicación, en formato dd-mm-aaaa</t>
        </r>
      </text>
    </comment>
    <comment ref="F1389" authorId="2" shapeId="0" xr:uid="{00000000-0006-0000-0100-0000AD050000}">
      <text/>
    </comment>
    <comment ref="F1390" authorId="2" shapeId="0" xr:uid="{00000000-0006-0000-0100-0000AE050000}">
      <text/>
    </comment>
    <comment ref="A1392" authorId="2" shapeId="0" xr:uid="{00000000-0006-0000-0100-0000AF050000}">
      <text>
        <r>
          <rPr>
            <sz val="11"/>
            <color theme="1"/>
            <rFont val="Calibri"/>
            <family val="2"/>
            <scheme val="minor"/>
          </rPr>
          <t>Introduzca un codigo UNSPSC</t>
        </r>
      </text>
    </comment>
    <comment ref="B1392" authorId="2" shapeId="0" xr:uid="{00000000-0006-0000-0100-0000B0050000}">
      <text>
        <r>
          <rPr>
            <sz val="11"/>
            <color theme="1"/>
            <rFont val="Calibri"/>
            <family val="2"/>
            <scheme val="minor"/>
          </rPr>
          <t>Descripción calculada automáticamente a partir de código del artículo</t>
        </r>
      </text>
    </comment>
    <comment ref="C1392" authorId="2" shapeId="0" xr:uid="{00000000-0006-0000-0100-0000B1050000}">
      <text>
        <r>
          <rPr>
            <sz val="11"/>
            <color theme="1"/>
            <rFont val="Calibri"/>
            <family val="2"/>
            <scheme val="minor"/>
          </rPr>
          <t>Seleccione un valor de la lista</t>
        </r>
      </text>
    </comment>
    <comment ref="D1392" authorId="2" shapeId="0" xr:uid="{00000000-0006-0000-0100-0000B2050000}">
      <text>
        <r>
          <rPr>
            <sz val="11"/>
            <color theme="1"/>
            <rFont val="Calibri"/>
            <family val="2"/>
            <scheme val="minor"/>
          </rPr>
          <t>Introduzca un número con dos decimales como máximo. Debe ser igual o mayor a la "Cantidad Real Consumida"</t>
        </r>
      </text>
    </comment>
    <comment ref="E1392" authorId="2" shapeId="0" xr:uid="{00000000-0006-0000-0100-0000B3050000}">
      <text>
        <r>
          <rPr>
            <sz val="11"/>
            <color theme="1"/>
            <rFont val="Calibri"/>
            <family val="2"/>
            <scheme val="minor"/>
          </rPr>
          <t>Introduzca un número con dos decimales como máximo</t>
        </r>
      </text>
    </comment>
    <comment ref="F1392" authorId="2" shapeId="0" xr:uid="{00000000-0006-0000-0100-0000B4050000}">
      <text>
        <r>
          <rPr>
            <sz val="11"/>
            <color theme="1"/>
            <rFont val="Calibri"/>
            <family val="2"/>
            <scheme val="minor"/>
          </rPr>
          <t>Monto calculado automáticamente por el sistema</t>
        </r>
      </text>
    </comment>
    <comment ref="A1398" authorId="2" shapeId="0" xr:uid="{00000000-0006-0000-0100-0000B5050000}">
      <text>
        <r>
          <rPr>
            <sz val="11"/>
            <color theme="1"/>
            <rFont val="Calibri"/>
            <family val="2"/>
            <scheme val="minor"/>
          </rPr>
          <t>Introducir un texto con el nombre o referencia de la contratación</t>
        </r>
      </text>
    </comment>
    <comment ref="B1398" authorId="2" shapeId="0" xr:uid="{00000000-0006-0000-0100-0000B6050000}">
      <text>
        <r>
          <rPr>
            <sz val="11"/>
            <color theme="1"/>
            <rFont val="Calibri"/>
            <family val="2"/>
            <scheme val="minor"/>
          </rPr>
          <t>Introduzca un texto con la finalidad de la contratación</t>
        </r>
      </text>
    </comment>
    <comment ref="C1398" authorId="2" shapeId="0" xr:uid="{00000000-0006-0000-0100-0000B7050000}">
      <text>
        <r>
          <rPr>
            <sz val="11"/>
            <color theme="1"/>
            <rFont val="Calibri"/>
            <family val="2"/>
            <scheme val="minor"/>
          </rPr>
          <t>Seleccionar un valor del listado</t>
        </r>
      </text>
    </comment>
    <comment ref="D1398" authorId="2" shapeId="0" xr:uid="{00000000-0006-0000-0100-0000B8050000}">
      <text>
        <r>
          <rPr>
            <sz val="11"/>
            <color theme="1"/>
            <rFont val="Calibri"/>
            <family val="2"/>
            <scheme val="minor"/>
          </rPr>
          <t>Seleccione el tipo de procedimiento</t>
        </r>
      </text>
    </comment>
    <comment ref="E1398" authorId="2" shapeId="0" xr:uid="{00000000-0006-0000-0100-0000B9050000}">
      <text>
        <r>
          <rPr>
            <sz val="11"/>
            <color theme="1"/>
            <rFont val="Calibri"/>
            <family val="2"/>
            <scheme val="minor"/>
          </rPr>
          <t>Seleccione un valor de la lista</t>
        </r>
      </text>
    </comment>
    <comment ref="F1398" authorId="2" shapeId="0" xr:uid="{00000000-0006-0000-0100-0000BA050000}">
      <text>
        <r>
          <rPr>
            <sz val="11"/>
            <color theme="1"/>
            <rFont val="Calibri"/>
            <family val="2"/>
            <scheme val="minor"/>
          </rPr>
          <t>Introduzca el código SNIP</t>
        </r>
      </text>
    </comment>
    <comment ref="C1399" authorId="2" shapeId="0" xr:uid="{00000000-0006-0000-0100-0000BB050000}">
      <text>
        <r>
          <rPr>
            <sz val="11"/>
            <color theme="1"/>
            <rFont val="Calibri"/>
            <family val="2"/>
            <scheme val="minor"/>
          </rPr>
          <t>Introduzca la fecha de inicio del proceso, en formato dd-mm-aaaa</t>
        </r>
      </text>
    </comment>
    <comment ref="F1399"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2" shapeId="0" xr:uid="{00000000-0006-0000-0100-0000BD050000}">
      <text/>
    </comment>
    <comment ref="C1401" authorId="2" shapeId="0" xr:uid="{00000000-0006-0000-0100-0000BE050000}">
      <text>
        <r>
          <rPr>
            <sz val="11"/>
            <color theme="1"/>
            <rFont val="Calibri"/>
            <family val="2"/>
            <scheme val="minor"/>
          </rPr>
          <t>Introduzca la fecha prevista de adjudicación, en formato dd-mm-aaaa</t>
        </r>
      </text>
    </comment>
    <comment ref="F1401" authorId="2" shapeId="0" xr:uid="{00000000-0006-0000-0100-0000BF050000}">
      <text/>
    </comment>
    <comment ref="F1402" authorId="2" shapeId="0" xr:uid="{00000000-0006-0000-0100-0000C0050000}">
      <text/>
    </comment>
    <comment ref="A1404" authorId="2" shapeId="0" xr:uid="{00000000-0006-0000-0100-0000C1050000}">
      <text>
        <r>
          <rPr>
            <sz val="11"/>
            <color theme="1"/>
            <rFont val="Calibri"/>
            <family val="2"/>
            <scheme val="minor"/>
          </rPr>
          <t>Introduzca un codigo UNSPSC</t>
        </r>
      </text>
    </comment>
    <comment ref="B1404" authorId="2" shapeId="0" xr:uid="{00000000-0006-0000-0100-0000C2050000}">
      <text>
        <r>
          <rPr>
            <sz val="11"/>
            <color theme="1"/>
            <rFont val="Calibri"/>
            <family val="2"/>
            <scheme val="minor"/>
          </rPr>
          <t>Descripción calculada automáticamente a partir de código del artículo</t>
        </r>
      </text>
    </comment>
    <comment ref="C1404" authorId="2" shapeId="0" xr:uid="{00000000-0006-0000-0100-0000C3050000}">
      <text>
        <r>
          <rPr>
            <sz val="11"/>
            <color theme="1"/>
            <rFont val="Calibri"/>
            <family val="2"/>
            <scheme val="minor"/>
          </rPr>
          <t>Seleccione un valor de la lista</t>
        </r>
      </text>
    </comment>
    <comment ref="D1404" authorId="2" shapeId="0" xr:uid="{00000000-0006-0000-0100-0000C4050000}">
      <text>
        <r>
          <rPr>
            <sz val="11"/>
            <color theme="1"/>
            <rFont val="Calibri"/>
            <family val="2"/>
            <scheme val="minor"/>
          </rPr>
          <t>Introduzca un número con dos decimales como máximo. Debe ser igual o mayor a la "Cantidad Real Consumida"</t>
        </r>
      </text>
    </comment>
    <comment ref="E1404" authorId="2" shapeId="0" xr:uid="{00000000-0006-0000-0100-0000C5050000}">
      <text>
        <r>
          <rPr>
            <sz val="11"/>
            <color theme="1"/>
            <rFont val="Calibri"/>
            <family val="2"/>
            <scheme val="minor"/>
          </rPr>
          <t>Introduzca un número con dos decimales como máximo</t>
        </r>
      </text>
    </comment>
    <comment ref="F1404" authorId="2" shapeId="0" xr:uid="{00000000-0006-0000-0100-0000C6050000}">
      <text>
        <r>
          <rPr>
            <sz val="11"/>
            <color theme="1"/>
            <rFont val="Calibri"/>
            <family val="2"/>
            <scheme val="minor"/>
          </rPr>
          <t>Monto calculado automáticamente por el sistema</t>
        </r>
      </text>
    </comment>
    <comment ref="A1410" authorId="2" shapeId="0" xr:uid="{00000000-0006-0000-0100-0000C7050000}">
      <text>
        <r>
          <rPr>
            <sz val="11"/>
            <color theme="1"/>
            <rFont val="Calibri"/>
            <family val="2"/>
            <scheme val="minor"/>
          </rPr>
          <t>Introducir un texto con el nombre o referencia de la contratación</t>
        </r>
      </text>
    </comment>
    <comment ref="B1410" authorId="2" shapeId="0" xr:uid="{00000000-0006-0000-0100-0000C8050000}">
      <text>
        <r>
          <rPr>
            <sz val="11"/>
            <color theme="1"/>
            <rFont val="Calibri"/>
            <family val="2"/>
            <scheme val="minor"/>
          </rPr>
          <t>Introduzca un texto con la finalidad de la contratación</t>
        </r>
      </text>
    </comment>
    <comment ref="C1410" authorId="2" shapeId="0" xr:uid="{00000000-0006-0000-0100-0000C9050000}">
      <text>
        <r>
          <rPr>
            <sz val="11"/>
            <color theme="1"/>
            <rFont val="Calibri"/>
            <family val="2"/>
            <scheme val="minor"/>
          </rPr>
          <t>Seleccionar un valor del listado</t>
        </r>
      </text>
    </comment>
    <comment ref="D1410" authorId="2" shapeId="0" xr:uid="{00000000-0006-0000-0100-0000CA050000}">
      <text>
        <r>
          <rPr>
            <sz val="11"/>
            <color theme="1"/>
            <rFont val="Calibri"/>
            <family val="2"/>
            <scheme val="minor"/>
          </rPr>
          <t>Seleccione el tipo de procedimiento</t>
        </r>
      </text>
    </comment>
    <comment ref="E1410" authorId="2" shapeId="0" xr:uid="{00000000-0006-0000-0100-0000CB050000}">
      <text>
        <r>
          <rPr>
            <sz val="11"/>
            <color theme="1"/>
            <rFont val="Calibri"/>
            <family val="2"/>
            <scheme val="minor"/>
          </rPr>
          <t>Seleccione un valor de la lista</t>
        </r>
      </text>
    </comment>
    <comment ref="F1410" authorId="2" shapeId="0" xr:uid="{00000000-0006-0000-0100-0000CC050000}">
      <text>
        <r>
          <rPr>
            <sz val="11"/>
            <color theme="1"/>
            <rFont val="Calibri"/>
            <family val="2"/>
            <scheme val="minor"/>
          </rPr>
          <t>Introduzca el código SNIP</t>
        </r>
      </text>
    </comment>
    <comment ref="C1411" authorId="2" shapeId="0" xr:uid="{00000000-0006-0000-0100-0000CD050000}">
      <text>
        <r>
          <rPr>
            <sz val="11"/>
            <color theme="1"/>
            <rFont val="Calibri"/>
            <family val="2"/>
            <scheme val="minor"/>
          </rPr>
          <t>Introduzca la fecha de inicio del proceso, en formato dd-mm-aaaa</t>
        </r>
      </text>
    </comment>
    <comment ref="F1411"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2" shapeId="0" xr:uid="{00000000-0006-0000-0100-0000CF050000}">
      <text/>
    </comment>
    <comment ref="C1413" authorId="2" shapeId="0" xr:uid="{00000000-0006-0000-0100-0000D0050000}">
      <text>
        <r>
          <rPr>
            <sz val="11"/>
            <color theme="1"/>
            <rFont val="Calibri"/>
            <family val="2"/>
            <scheme val="minor"/>
          </rPr>
          <t>Introduzca la fecha prevista de adjudicación, en formato dd-mm-aaaa</t>
        </r>
      </text>
    </comment>
    <comment ref="F1413" authorId="2" shapeId="0" xr:uid="{00000000-0006-0000-0100-0000D1050000}">
      <text/>
    </comment>
    <comment ref="F1414" authorId="2" shapeId="0" xr:uid="{00000000-0006-0000-0100-0000D2050000}">
      <text/>
    </comment>
    <comment ref="A1416" authorId="2" shapeId="0" xr:uid="{00000000-0006-0000-0100-0000D3050000}">
      <text>
        <r>
          <rPr>
            <sz val="11"/>
            <color theme="1"/>
            <rFont val="Calibri"/>
            <family val="2"/>
            <scheme val="minor"/>
          </rPr>
          <t>Introduzca un codigo UNSPSC</t>
        </r>
      </text>
    </comment>
    <comment ref="B1416" authorId="2" shapeId="0" xr:uid="{00000000-0006-0000-0100-0000D4050000}">
      <text>
        <r>
          <rPr>
            <sz val="11"/>
            <color theme="1"/>
            <rFont val="Calibri"/>
            <family val="2"/>
            <scheme val="minor"/>
          </rPr>
          <t>Descripción calculada automáticamente a partir de código del artículo</t>
        </r>
      </text>
    </comment>
    <comment ref="C1416" authorId="2" shapeId="0" xr:uid="{00000000-0006-0000-0100-0000D5050000}">
      <text>
        <r>
          <rPr>
            <sz val="11"/>
            <color theme="1"/>
            <rFont val="Calibri"/>
            <family val="2"/>
            <scheme val="minor"/>
          </rPr>
          <t>Seleccione un valor de la lista</t>
        </r>
      </text>
    </comment>
    <comment ref="D1416" authorId="2" shapeId="0" xr:uid="{00000000-0006-0000-0100-0000D6050000}">
      <text>
        <r>
          <rPr>
            <sz val="11"/>
            <color theme="1"/>
            <rFont val="Calibri"/>
            <family val="2"/>
            <scheme val="minor"/>
          </rPr>
          <t>Introduzca un número con dos decimales como máximo. Debe ser igual o mayor a la "Cantidad Real Consumida"</t>
        </r>
      </text>
    </comment>
    <comment ref="E1416" authorId="2" shapeId="0" xr:uid="{00000000-0006-0000-0100-0000D7050000}">
      <text>
        <r>
          <rPr>
            <sz val="11"/>
            <color theme="1"/>
            <rFont val="Calibri"/>
            <family val="2"/>
            <scheme val="minor"/>
          </rPr>
          <t>Introduzca un número con dos decimales como máximo</t>
        </r>
      </text>
    </comment>
    <comment ref="F1416" authorId="2" shapeId="0" xr:uid="{00000000-0006-0000-0100-0000D8050000}">
      <text>
        <r>
          <rPr>
            <sz val="11"/>
            <color theme="1"/>
            <rFont val="Calibri"/>
            <family val="2"/>
            <scheme val="minor"/>
          </rPr>
          <t>Monto calculado automáticamente por el sistema</t>
        </r>
      </text>
    </comment>
    <comment ref="A1422" authorId="2" shapeId="0" xr:uid="{00000000-0006-0000-0100-0000D9050000}">
      <text>
        <r>
          <rPr>
            <sz val="11"/>
            <color theme="1"/>
            <rFont val="Calibri"/>
            <family val="2"/>
            <scheme val="minor"/>
          </rPr>
          <t>Introducir un texto con el nombre o referencia de la contratación</t>
        </r>
      </text>
    </comment>
    <comment ref="B1422" authorId="2" shapeId="0" xr:uid="{00000000-0006-0000-0100-0000DA050000}">
      <text>
        <r>
          <rPr>
            <sz val="11"/>
            <color theme="1"/>
            <rFont val="Calibri"/>
            <family val="2"/>
            <scheme val="minor"/>
          </rPr>
          <t>Introduzca un texto con la finalidad de la contratación</t>
        </r>
      </text>
    </comment>
    <comment ref="C1422" authorId="2" shapeId="0" xr:uid="{00000000-0006-0000-0100-0000DB050000}">
      <text>
        <r>
          <rPr>
            <sz val="11"/>
            <color theme="1"/>
            <rFont val="Calibri"/>
            <family val="2"/>
            <scheme val="minor"/>
          </rPr>
          <t>Seleccionar un valor del listado</t>
        </r>
      </text>
    </comment>
    <comment ref="D1422" authorId="2" shapeId="0" xr:uid="{00000000-0006-0000-0100-0000DC050000}">
      <text>
        <r>
          <rPr>
            <sz val="11"/>
            <color theme="1"/>
            <rFont val="Calibri"/>
            <family val="2"/>
            <scheme val="minor"/>
          </rPr>
          <t>Seleccione el tipo de procedimiento</t>
        </r>
      </text>
    </comment>
    <comment ref="E1422" authorId="2" shapeId="0" xr:uid="{00000000-0006-0000-0100-0000DD050000}">
      <text>
        <r>
          <rPr>
            <sz val="11"/>
            <color theme="1"/>
            <rFont val="Calibri"/>
            <family val="2"/>
            <scheme val="minor"/>
          </rPr>
          <t>Seleccione un valor de la lista</t>
        </r>
      </text>
    </comment>
    <comment ref="F1422" authorId="2" shapeId="0" xr:uid="{00000000-0006-0000-0100-0000DE050000}">
      <text>
        <r>
          <rPr>
            <sz val="11"/>
            <color theme="1"/>
            <rFont val="Calibri"/>
            <family val="2"/>
            <scheme val="minor"/>
          </rPr>
          <t>Introduzca el código SNIP</t>
        </r>
      </text>
    </comment>
    <comment ref="C1423" authorId="2" shapeId="0" xr:uid="{00000000-0006-0000-0100-0000DF050000}">
      <text>
        <r>
          <rPr>
            <sz val="11"/>
            <color theme="1"/>
            <rFont val="Calibri"/>
            <family val="2"/>
            <scheme val="minor"/>
          </rPr>
          <t>Introduzca la fecha de inicio del proceso, en formato dd-mm-aaaa</t>
        </r>
      </text>
    </comment>
    <comment ref="F1423"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2" shapeId="0" xr:uid="{00000000-0006-0000-0100-0000E1050000}">
      <text/>
    </comment>
    <comment ref="C1425" authorId="2" shapeId="0" xr:uid="{00000000-0006-0000-0100-0000E2050000}">
      <text>
        <r>
          <rPr>
            <sz val="11"/>
            <color theme="1"/>
            <rFont val="Calibri"/>
            <family val="2"/>
            <scheme val="minor"/>
          </rPr>
          <t>Introduzca la fecha prevista de adjudicación, en formato dd-mm-aaaa</t>
        </r>
      </text>
    </comment>
    <comment ref="F1425" authorId="2" shapeId="0" xr:uid="{00000000-0006-0000-0100-0000E3050000}">
      <text/>
    </comment>
    <comment ref="F1426" authorId="2" shapeId="0" xr:uid="{00000000-0006-0000-0100-0000E4050000}">
      <text/>
    </comment>
    <comment ref="A1428" authorId="2" shapeId="0" xr:uid="{00000000-0006-0000-0100-0000E5050000}">
      <text>
        <r>
          <rPr>
            <sz val="11"/>
            <color theme="1"/>
            <rFont val="Calibri"/>
            <family val="2"/>
            <scheme val="minor"/>
          </rPr>
          <t>Introduzca un codigo UNSPSC</t>
        </r>
      </text>
    </comment>
    <comment ref="B1428" authorId="2" shapeId="0" xr:uid="{00000000-0006-0000-0100-0000E6050000}">
      <text>
        <r>
          <rPr>
            <sz val="11"/>
            <color theme="1"/>
            <rFont val="Calibri"/>
            <family val="2"/>
            <scheme val="minor"/>
          </rPr>
          <t>Descripción calculada automáticamente a partir de código del artículo</t>
        </r>
      </text>
    </comment>
    <comment ref="C1428" authorId="2" shapeId="0" xr:uid="{00000000-0006-0000-0100-0000E7050000}">
      <text>
        <r>
          <rPr>
            <sz val="11"/>
            <color theme="1"/>
            <rFont val="Calibri"/>
            <family val="2"/>
            <scheme val="minor"/>
          </rPr>
          <t>Seleccione un valor de la lista</t>
        </r>
      </text>
    </comment>
    <comment ref="D1428" authorId="2" shapeId="0" xr:uid="{00000000-0006-0000-0100-0000E8050000}">
      <text>
        <r>
          <rPr>
            <sz val="11"/>
            <color theme="1"/>
            <rFont val="Calibri"/>
            <family val="2"/>
            <scheme val="minor"/>
          </rPr>
          <t>Introduzca un número con dos decimales como máximo. Debe ser igual o mayor a la "Cantidad Real Consumida"</t>
        </r>
      </text>
    </comment>
    <comment ref="E1428" authorId="2" shapeId="0" xr:uid="{00000000-0006-0000-0100-0000E9050000}">
      <text>
        <r>
          <rPr>
            <sz val="11"/>
            <color theme="1"/>
            <rFont val="Calibri"/>
            <family val="2"/>
            <scheme val="minor"/>
          </rPr>
          <t>Introduzca un número con dos decimales como máximo</t>
        </r>
      </text>
    </comment>
    <comment ref="F1428" authorId="2" shapeId="0" xr:uid="{00000000-0006-0000-0100-0000EA050000}">
      <text>
        <r>
          <rPr>
            <sz val="11"/>
            <color theme="1"/>
            <rFont val="Calibri"/>
            <family val="2"/>
            <scheme val="minor"/>
          </rPr>
          <t>Monto calculado automáticamente por el sistema</t>
        </r>
      </text>
    </comment>
    <comment ref="A1434" authorId="2" shapeId="0" xr:uid="{00000000-0006-0000-0100-0000EB050000}">
      <text>
        <r>
          <rPr>
            <sz val="11"/>
            <color theme="1"/>
            <rFont val="Calibri"/>
            <family val="2"/>
            <scheme val="minor"/>
          </rPr>
          <t>Introducir un texto con el nombre o referencia de la contratación</t>
        </r>
      </text>
    </comment>
    <comment ref="B1434" authorId="2" shapeId="0" xr:uid="{00000000-0006-0000-0100-0000EC050000}">
      <text>
        <r>
          <rPr>
            <sz val="11"/>
            <color theme="1"/>
            <rFont val="Calibri"/>
            <family val="2"/>
            <scheme val="minor"/>
          </rPr>
          <t>Introduzca un texto con la finalidad de la contratación</t>
        </r>
      </text>
    </comment>
    <comment ref="C1434" authorId="2" shapeId="0" xr:uid="{00000000-0006-0000-0100-0000ED050000}">
      <text>
        <r>
          <rPr>
            <sz val="11"/>
            <color theme="1"/>
            <rFont val="Calibri"/>
            <family val="2"/>
            <scheme val="minor"/>
          </rPr>
          <t>Seleccionar un valor del listado</t>
        </r>
      </text>
    </comment>
    <comment ref="D1434" authorId="2" shapeId="0" xr:uid="{00000000-0006-0000-0100-0000EE050000}">
      <text>
        <r>
          <rPr>
            <sz val="11"/>
            <color theme="1"/>
            <rFont val="Calibri"/>
            <family val="2"/>
            <scheme val="minor"/>
          </rPr>
          <t>Seleccione el tipo de procedimiento</t>
        </r>
      </text>
    </comment>
    <comment ref="E1434" authorId="2" shapeId="0" xr:uid="{00000000-0006-0000-0100-0000EF050000}">
      <text>
        <r>
          <rPr>
            <sz val="11"/>
            <color theme="1"/>
            <rFont val="Calibri"/>
            <family val="2"/>
            <scheme val="minor"/>
          </rPr>
          <t>Seleccione un valor de la lista</t>
        </r>
      </text>
    </comment>
    <comment ref="F1434" authorId="2" shapeId="0" xr:uid="{00000000-0006-0000-0100-0000F0050000}">
      <text>
        <r>
          <rPr>
            <sz val="11"/>
            <color theme="1"/>
            <rFont val="Calibri"/>
            <family val="2"/>
            <scheme val="minor"/>
          </rPr>
          <t>Introduzca el código SNIP</t>
        </r>
      </text>
    </comment>
    <comment ref="C1435" authorId="2" shapeId="0" xr:uid="{00000000-0006-0000-0100-0000F1050000}">
      <text>
        <r>
          <rPr>
            <sz val="11"/>
            <color theme="1"/>
            <rFont val="Calibri"/>
            <family val="2"/>
            <scheme val="minor"/>
          </rPr>
          <t>Introduzca la fecha de inicio del proceso, en formato dd-mm-aaaa</t>
        </r>
      </text>
    </comment>
    <comment ref="F1435"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2" shapeId="0" xr:uid="{00000000-0006-0000-0100-0000F3050000}">
      <text/>
    </comment>
    <comment ref="C1437" authorId="2" shapeId="0" xr:uid="{00000000-0006-0000-0100-0000F4050000}">
      <text>
        <r>
          <rPr>
            <sz val="11"/>
            <color theme="1"/>
            <rFont val="Calibri"/>
            <family val="2"/>
            <scheme val="minor"/>
          </rPr>
          <t>Introduzca la fecha prevista de adjudicación, en formato dd-mm-aaaa</t>
        </r>
      </text>
    </comment>
    <comment ref="F1437" authorId="2" shapeId="0" xr:uid="{00000000-0006-0000-0100-0000F5050000}">
      <text/>
    </comment>
    <comment ref="F1438" authorId="2" shapeId="0" xr:uid="{00000000-0006-0000-0100-0000F6050000}">
      <text/>
    </comment>
    <comment ref="A1440" authorId="2" shapeId="0" xr:uid="{00000000-0006-0000-0100-0000F7050000}">
      <text>
        <r>
          <rPr>
            <sz val="11"/>
            <color theme="1"/>
            <rFont val="Calibri"/>
            <family val="2"/>
            <scheme val="minor"/>
          </rPr>
          <t>Introduzca un codigo UNSPSC</t>
        </r>
      </text>
    </comment>
    <comment ref="B1440" authorId="2" shapeId="0" xr:uid="{00000000-0006-0000-0100-0000F8050000}">
      <text>
        <r>
          <rPr>
            <sz val="11"/>
            <color theme="1"/>
            <rFont val="Calibri"/>
            <family val="2"/>
            <scheme val="minor"/>
          </rPr>
          <t>Descripción calculada automáticamente a partir de código del artículo</t>
        </r>
      </text>
    </comment>
    <comment ref="C1440" authorId="2" shapeId="0" xr:uid="{00000000-0006-0000-0100-0000F9050000}">
      <text>
        <r>
          <rPr>
            <sz val="11"/>
            <color theme="1"/>
            <rFont val="Calibri"/>
            <family val="2"/>
            <scheme val="minor"/>
          </rPr>
          <t>Seleccione un valor de la lista</t>
        </r>
      </text>
    </comment>
    <comment ref="D1440" authorId="2" shapeId="0" xr:uid="{00000000-0006-0000-0100-0000FA050000}">
      <text>
        <r>
          <rPr>
            <sz val="11"/>
            <color theme="1"/>
            <rFont val="Calibri"/>
            <family val="2"/>
            <scheme val="minor"/>
          </rPr>
          <t>Introduzca un número con dos decimales como máximo. Debe ser igual o mayor a la "Cantidad Real Consumida"</t>
        </r>
      </text>
    </comment>
    <comment ref="E1440" authorId="2" shapeId="0" xr:uid="{00000000-0006-0000-0100-0000FB050000}">
      <text>
        <r>
          <rPr>
            <sz val="11"/>
            <color theme="1"/>
            <rFont val="Calibri"/>
            <family val="2"/>
            <scheme val="minor"/>
          </rPr>
          <t>Introduzca un número con dos decimales como máximo</t>
        </r>
      </text>
    </comment>
    <comment ref="F1440" authorId="2" shapeId="0" xr:uid="{00000000-0006-0000-0100-0000FC050000}">
      <text>
        <r>
          <rPr>
            <sz val="11"/>
            <color theme="1"/>
            <rFont val="Calibri"/>
            <family val="2"/>
            <scheme val="minor"/>
          </rPr>
          <t>Monto calculado automáticamente por el sistema</t>
        </r>
      </text>
    </comment>
    <comment ref="A1446" authorId="2" shapeId="0" xr:uid="{00000000-0006-0000-0100-0000FD050000}">
      <text>
        <r>
          <rPr>
            <sz val="11"/>
            <color theme="1"/>
            <rFont val="Calibri"/>
            <family val="2"/>
            <scheme val="minor"/>
          </rPr>
          <t>Introducir un texto con el nombre o referencia de la contratación</t>
        </r>
      </text>
    </comment>
    <comment ref="B1446" authorId="2" shapeId="0" xr:uid="{00000000-0006-0000-0100-0000FE050000}">
      <text>
        <r>
          <rPr>
            <sz val="11"/>
            <color theme="1"/>
            <rFont val="Calibri"/>
            <family val="2"/>
            <scheme val="minor"/>
          </rPr>
          <t>Introduzca un texto con la finalidad de la contratación</t>
        </r>
      </text>
    </comment>
    <comment ref="C1446" authorId="2" shapeId="0" xr:uid="{00000000-0006-0000-0100-0000FF050000}">
      <text>
        <r>
          <rPr>
            <sz val="11"/>
            <color theme="1"/>
            <rFont val="Calibri"/>
            <family val="2"/>
            <scheme val="minor"/>
          </rPr>
          <t>Seleccionar un valor del listado</t>
        </r>
      </text>
    </comment>
    <comment ref="D1446" authorId="2" shapeId="0" xr:uid="{00000000-0006-0000-0100-000000060000}">
      <text>
        <r>
          <rPr>
            <sz val="11"/>
            <color theme="1"/>
            <rFont val="Calibri"/>
            <family val="2"/>
            <scheme val="minor"/>
          </rPr>
          <t>Seleccione el tipo de procedimiento</t>
        </r>
      </text>
    </comment>
    <comment ref="E1446" authorId="2" shapeId="0" xr:uid="{00000000-0006-0000-0100-000001060000}">
      <text>
        <r>
          <rPr>
            <sz val="11"/>
            <color theme="1"/>
            <rFont val="Calibri"/>
            <family val="2"/>
            <scheme val="minor"/>
          </rPr>
          <t>Seleccione un valor de la lista</t>
        </r>
      </text>
    </comment>
    <comment ref="F1446" authorId="2" shapeId="0" xr:uid="{00000000-0006-0000-0100-000002060000}">
      <text>
        <r>
          <rPr>
            <sz val="11"/>
            <color theme="1"/>
            <rFont val="Calibri"/>
            <family val="2"/>
            <scheme val="minor"/>
          </rPr>
          <t>Introduzca el código SNIP</t>
        </r>
      </text>
    </comment>
    <comment ref="C1447" authorId="2" shapeId="0" xr:uid="{00000000-0006-0000-0100-000003060000}">
      <text>
        <r>
          <rPr>
            <sz val="11"/>
            <color theme="1"/>
            <rFont val="Calibri"/>
            <family val="2"/>
            <scheme val="minor"/>
          </rPr>
          <t>Introduzca la fecha de inicio del proceso, en formato dd-mm-aaaa</t>
        </r>
      </text>
    </comment>
    <comment ref="F1447"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2" shapeId="0" xr:uid="{00000000-0006-0000-0100-000005060000}">
      <text/>
    </comment>
    <comment ref="C1449" authorId="2" shapeId="0" xr:uid="{00000000-0006-0000-0100-000006060000}">
      <text>
        <r>
          <rPr>
            <sz val="11"/>
            <color theme="1"/>
            <rFont val="Calibri"/>
            <family val="2"/>
            <scheme val="minor"/>
          </rPr>
          <t>Introduzca la fecha prevista de adjudicación, en formato dd-mm-aaaa</t>
        </r>
      </text>
    </comment>
    <comment ref="F1449" authorId="2" shapeId="0" xr:uid="{00000000-0006-0000-0100-000007060000}">
      <text/>
    </comment>
    <comment ref="F1450" authorId="2" shapeId="0" xr:uid="{00000000-0006-0000-0100-000008060000}">
      <text/>
    </comment>
    <comment ref="A1452" authorId="2" shapeId="0" xr:uid="{00000000-0006-0000-0100-000009060000}">
      <text>
        <r>
          <rPr>
            <sz val="11"/>
            <color theme="1"/>
            <rFont val="Calibri"/>
            <family val="2"/>
            <scheme val="minor"/>
          </rPr>
          <t>Introduzca un codigo UNSPSC</t>
        </r>
      </text>
    </comment>
    <comment ref="B1452" authorId="2" shapeId="0" xr:uid="{00000000-0006-0000-0100-00000A060000}">
      <text>
        <r>
          <rPr>
            <sz val="11"/>
            <color theme="1"/>
            <rFont val="Calibri"/>
            <family val="2"/>
            <scheme val="minor"/>
          </rPr>
          <t>Descripción calculada automáticamente a partir de código del artículo</t>
        </r>
      </text>
    </comment>
    <comment ref="C1452" authorId="2" shapeId="0" xr:uid="{00000000-0006-0000-0100-00000B060000}">
      <text>
        <r>
          <rPr>
            <sz val="11"/>
            <color theme="1"/>
            <rFont val="Calibri"/>
            <family val="2"/>
            <scheme val="minor"/>
          </rPr>
          <t>Seleccione un valor de la lista</t>
        </r>
      </text>
    </comment>
    <comment ref="D1452" authorId="2" shapeId="0" xr:uid="{00000000-0006-0000-0100-00000C060000}">
      <text>
        <r>
          <rPr>
            <sz val="11"/>
            <color theme="1"/>
            <rFont val="Calibri"/>
            <family val="2"/>
            <scheme val="minor"/>
          </rPr>
          <t>Introduzca un número con dos decimales como máximo. Debe ser igual o mayor a la "Cantidad Real Consumida"</t>
        </r>
      </text>
    </comment>
    <comment ref="E1452" authorId="2" shapeId="0" xr:uid="{00000000-0006-0000-0100-00000D060000}">
      <text>
        <r>
          <rPr>
            <sz val="11"/>
            <color theme="1"/>
            <rFont val="Calibri"/>
            <family val="2"/>
            <scheme val="minor"/>
          </rPr>
          <t>Introduzca un número con dos decimales como máximo</t>
        </r>
      </text>
    </comment>
    <comment ref="F1452" authorId="2" shapeId="0" xr:uid="{00000000-0006-0000-0100-00000E060000}">
      <text>
        <r>
          <rPr>
            <sz val="11"/>
            <color theme="1"/>
            <rFont val="Calibri"/>
            <family val="2"/>
            <scheme val="minor"/>
          </rPr>
          <t>Monto calculado automáticamente por el sistema</t>
        </r>
      </text>
    </comment>
    <comment ref="A1458" authorId="2" shapeId="0" xr:uid="{00000000-0006-0000-0100-00000F060000}">
      <text>
        <r>
          <rPr>
            <sz val="11"/>
            <color theme="1"/>
            <rFont val="Calibri"/>
            <family val="2"/>
            <scheme val="minor"/>
          </rPr>
          <t>Introducir un texto con el nombre o referencia de la contratación</t>
        </r>
      </text>
    </comment>
    <comment ref="B1458" authorId="2" shapeId="0" xr:uid="{00000000-0006-0000-0100-000010060000}">
      <text>
        <r>
          <rPr>
            <sz val="11"/>
            <color theme="1"/>
            <rFont val="Calibri"/>
            <family val="2"/>
            <scheme val="minor"/>
          </rPr>
          <t>Introduzca un texto con la finalidad de la contratación</t>
        </r>
      </text>
    </comment>
    <comment ref="C1458" authorId="2" shapeId="0" xr:uid="{00000000-0006-0000-0100-000011060000}">
      <text>
        <r>
          <rPr>
            <sz val="11"/>
            <color theme="1"/>
            <rFont val="Calibri"/>
            <family val="2"/>
            <scheme val="minor"/>
          </rPr>
          <t>Seleccionar un valor del listado</t>
        </r>
      </text>
    </comment>
    <comment ref="D1458" authorId="2" shapeId="0" xr:uid="{00000000-0006-0000-0100-000012060000}">
      <text>
        <r>
          <rPr>
            <sz val="11"/>
            <color theme="1"/>
            <rFont val="Calibri"/>
            <family val="2"/>
            <scheme val="minor"/>
          </rPr>
          <t>Seleccione el tipo de procedimiento</t>
        </r>
      </text>
    </comment>
    <comment ref="E1458" authorId="2" shapeId="0" xr:uid="{00000000-0006-0000-0100-000013060000}">
      <text>
        <r>
          <rPr>
            <sz val="11"/>
            <color theme="1"/>
            <rFont val="Calibri"/>
            <family val="2"/>
            <scheme val="minor"/>
          </rPr>
          <t>Seleccione un valor de la lista</t>
        </r>
      </text>
    </comment>
    <comment ref="F1458" authorId="2" shapeId="0" xr:uid="{00000000-0006-0000-0100-000014060000}">
      <text>
        <r>
          <rPr>
            <sz val="11"/>
            <color theme="1"/>
            <rFont val="Calibri"/>
            <family val="2"/>
            <scheme val="minor"/>
          </rPr>
          <t>Introduzca el código SNIP</t>
        </r>
      </text>
    </comment>
    <comment ref="C1459" authorId="2" shapeId="0" xr:uid="{00000000-0006-0000-0100-000015060000}">
      <text>
        <r>
          <rPr>
            <sz val="11"/>
            <color theme="1"/>
            <rFont val="Calibri"/>
            <family val="2"/>
            <scheme val="minor"/>
          </rPr>
          <t>Introduzca la fecha de inicio del proceso, en formato dd-mm-aaaa</t>
        </r>
      </text>
    </comment>
    <comment ref="F1459"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2" shapeId="0" xr:uid="{00000000-0006-0000-0100-000017060000}">
      <text/>
    </comment>
    <comment ref="C1461" authorId="2" shapeId="0" xr:uid="{00000000-0006-0000-0100-000018060000}">
      <text>
        <r>
          <rPr>
            <sz val="11"/>
            <color theme="1"/>
            <rFont val="Calibri"/>
            <family val="2"/>
            <scheme val="minor"/>
          </rPr>
          <t>Introduzca la fecha prevista de adjudicación, en formato dd-mm-aaaa</t>
        </r>
      </text>
    </comment>
    <comment ref="F1461" authorId="2" shapeId="0" xr:uid="{00000000-0006-0000-0100-000019060000}">
      <text/>
    </comment>
    <comment ref="F1462" authorId="2" shapeId="0" xr:uid="{00000000-0006-0000-0100-00001A060000}">
      <text/>
    </comment>
    <comment ref="A1464" authorId="2" shapeId="0" xr:uid="{00000000-0006-0000-0100-00001B060000}">
      <text>
        <r>
          <rPr>
            <sz val="11"/>
            <color theme="1"/>
            <rFont val="Calibri"/>
            <family val="2"/>
            <scheme val="minor"/>
          </rPr>
          <t>Introduzca un codigo UNSPSC</t>
        </r>
      </text>
    </comment>
    <comment ref="B1464" authorId="2" shapeId="0" xr:uid="{00000000-0006-0000-0100-00001C060000}">
      <text>
        <r>
          <rPr>
            <sz val="11"/>
            <color theme="1"/>
            <rFont val="Calibri"/>
            <family val="2"/>
            <scheme val="minor"/>
          </rPr>
          <t>Descripción calculada automáticamente a partir de código del artículo</t>
        </r>
      </text>
    </comment>
    <comment ref="C1464" authorId="2" shapeId="0" xr:uid="{00000000-0006-0000-0100-00001D060000}">
      <text>
        <r>
          <rPr>
            <sz val="11"/>
            <color theme="1"/>
            <rFont val="Calibri"/>
            <family val="2"/>
            <scheme val="minor"/>
          </rPr>
          <t>Seleccione un valor de la lista</t>
        </r>
      </text>
    </comment>
    <comment ref="D1464" authorId="2" shapeId="0" xr:uid="{00000000-0006-0000-0100-00001E060000}">
      <text>
        <r>
          <rPr>
            <sz val="11"/>
            <color theme="1"/>
            <rFont val="Calibri"/>
            <family val="2"/>
            <scheme val="minor"/>
          </rPr>
          <t>Introduzca un número con dos decimales como máximo. Debe ser igual o mayor a la "Cantidad Real Consumida"</t>
        </r>
      </text>
    </comment>
    <comment ref="E1464" authorId="2" shapeId="0" xr:uid="{00000000-0006-0000-0100-00001F060000}">
      <text>
        <r>
          <rPr>
            <sz val="11"/>
            <color theme="1"/>
            <rFont val="Calibri"/>
            <family val="2"/>
            <scheme val="minor"/>
          </rPr>
          <t>Introduzca un número con dos decimales como máximo</t>
        </r>
      </text>
    </comment>
    <comment ref="F1464" authorId="2" shapeId="0" xr:uid="{00000000-0006-0000-0100-000020060000}">
      <text>
        <r>
          <rPr>
            <sz val="11"/>
            <color theme="1"/>
            <rFont val="Calibri"/>
            <family val="2"/>
            <scheme val="minor"/>
          </rPr>
          <t>Monto calculado automáticamente por el sistema</t>
        </r>
      </text>
    </comment>
    <comment ref="A1470" authorId="2" shapeId="0" xr:uid="{00000000-0006-0000-0100-000021060000}">
      <text>
        <r>
          <rPr>
            <sz val="11"/>
            <color theme="1"/>
            <rFont val="Calibri"/>
            <family val="2"/>
            <scheme val="minor"/>
          </rPr>
          <t>Introducir un texto con el nombre o referencia de la contratación</t>
        </r>
      </text>
    </comment>
    <comment ref="B1470" authorId="2" shapeId="0" xr:uid="{00000000-0006-0000-0100-000022060000}">
      <text>
        <r>
          <rPr>
            <sz val="11"/>
            <color theme="1"/>
            <rFont val="Calibri"/>
            <family val="2"/>
            <scheme val="minor"/>
          </rPr>
          <t>Introduzca un texto con la finalidad de la contratación</t>
        </r>
      </text>
    </comment>
    <comment ref="C1470" authorId="2" shapeId="0" xr:uid="{00000000-0006-0000-0100-000023060000}">
      <text>
        <r>
          <rPr>
            <sz val="11"/>
            <color theme="1"/>
            <rFont val="Calibri"/>
            <family val="2"/>
            <scheme val="minor"/>
          </rPr>
          <t>Seleccionar un valor del listado</t>
        </r>
      </text>
    </comment>
    <comment ref="D1470" authorId="2" shapeId="0" xr:uid="{00000000-0006-0000-0100-000024060000}">
      <text>
        <r>
          <rPr>
            <sz val="11"/>
            <color theme="1"/>
            <rFont val="Calibri"/>
            <family val="2"/>
            <scheme val="minor"/>
          </rPr>
          <t>Seleccione el tipo de procedimiento</t>
        </r>
      </text>
    </comment>
    <comment ref="E1470" authorId="2" shapeId="0" xr:uid="{00000000-0006-0000-0100-000025060000}">
      <text>
        <r>
          <rPr>
            <sz val="11"/>
            <color theme="1"/>
            <rFont val="Calibri"/>
            <family val="2"/>
            <scheme val="minor"/>
          </rPr>
          <t>Seleccione un valor de la lista</t>
        </r>
      </text>
    </comment>
    <comment ref="F1470" authorId="2" shapeId="0" xr:uid="{00000000-0006-0000-0100-000026060000}">
      <text>
        <r>
          <rPr>
            <sz val="11"/>
            <color theme="1"/>
            <rFont val="Calibri"/>
            <family val="2"/>
            <scheme val="minor"/>
          </rPr>
          <t>Introduzca el código SNIP</t>
        </r>
      </text>
    </comment>
    <comment ref="C1471" authorId="2" shapeId="0" xr:uid="{00000000-0006-0000-0100-000027060000}">
      <text>
        <r>
          <rPr>
            <sz val="11"/>
            <color theme="1"/>
            <rFont val="Calibri"/>
            <family val="2"/>
            <scheme val="minor"/>
          </rPr>
          <t>Introduzca la fecha de inicio del proceso, en formato dd-mm-aaaa</t>
        </r>
      </text>
    </comment>
    <comment ref="F1471"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2" shapeId="0" xr:uid="{00000000-0006-0000-0100-000029060000}">
      <text/>
    </comment>
    <comment ref="C1473" authorId="2" shapeId="0" xr:uid="{00000000-0006-0000-0100-00002A060000}">
      <text>
        <r>
          <rPr>
            <sz val="11"/>
            <color theme="1"/>
            <rFont val="Calibri"/>
            <family val="2"/>
            <scheme val="minor"/>
          </rPr>
          <t>Introduzca la fecha prevista de adjudicación, en formato dd-mm-aaaa</t>
        </r>
      </text>
    </comment>
    <comment ref="F1473" authorId="2" shapeId="0" xr:uid="{00000000-0006-0000-0100-00002B060000}">
      <text/>
    </comment>
    <comment ref="F1474" authorId="2" shapeId="0" xr:uid="{00000000-0006-0000-0100-00002C060000}">
      <text/>
    </comment>
    <comment ref="A1476" authorId="2" shapeId="0" xr:uid="{00000000-0006-0000-0100-00002D060000}">
      <text>
        <r>
          <rPr>
            <sz val="11"/>
            <color theme="1"/>
            <rFont val="Calibri"/>
            <family val="2"/>
            <scheme val="minor"/>
          </rPr>
          <t>Introduzca un codigo UNSPSC</t>
        </r>
      </text>
    </comment>
    <comment ref="B1476" authorId="2" shapeId="0" xr:uid="{00000000-0006-0000-0100-00002E060000}">
      <text>
        <r>
          <rPr>
            <sz val="11"/>
            <color theme="1"/>
            <rFont val="Calibri"/>
            <family val="2"/>
            <scheme val="minor"/>
          </rPr>
          <t>Descripción calculada automáticamente a partir de código del artículo</t>
        </r>
      </text>
    </comment>
    <comment ref="C1476" authorId="2" shapeId="0" xr:uid="{00000000-0006-0000-0100-00002F060000}">
      <text>
        <r>
          <rPr>
            <sz val="11"/>
            <color theme="1"/>
            <rFont val="Calibri"/>
            <family val="2"/>
            <scheme val="minor"/>
          </rPr>
          <t>Seleccione un valor de la lista</t>
        </r>
      </text>
    </comment>
    <comment ref="D1476" authorId="2" shapeId="0" xr:uid="{00000000-0006-0000-0100-000030060000}">
      <text>
        <r>
          <rPr>
            <sz val="11"/>
            <color theme="1"/>
            <rFont val="Calibri"/>
            <family val="2"/>
            <scheme val="minor"/>
          </rPr>
          <t>Introduzca un número con dos decimales como máximo. Debe ser igual o mayor a la "Cantidad Real Consumida"</t>
        </r>
      </text>
    </comment>
    <comment ref="E1476" authorId="2" shapeId="0" xr:uid="{00000000-0006-0000-0100-000031060000}">
      <text>
        <r>
          <rPr>
            <sz val="11"/>
            <color theme="1"/>
            <rFont val="Calibri"/>
            <family val="2"/>
            <scheme val="minor"/>
          </rPr>
          <t>Introduzca un número con dos decimales como máximo</t>
        </r>
      </text>
    </comment>
    <comment ref="F1476" authorId="2" shapeId="0" xr:uid="{00000000-0006-0000-0100-000032060000}">
      <text>
        <r>
          <rPr>
            <sz val="11"/>
            <color theme="1"/>
            <rFont val="Calibri"/>
            <family val="2"/>
            <scheme val="minor"/>
          </rPr>
          <t>Monto calculado automáticamente por el sistema</t>
        </r>
      </text>
    </comment>
    <comment ref="A1483" authorId="2" shapeId="0" xr:uid="{00000000-0006-0000-0100-000033060000}">
      <text>
        <r>
          <rPr>
            <sz val="11"/>
            <color theme="1"/>
            <rFont val="Calibri"/>
            <family val="2"/>
            <scheme val="minor"/>
          </rPr>
          <t>Introducir un texto con el nombre o referencia de la contratación</t>
        </r>
      </text>
    </comment>
    <comment ref="B1483" authorId="2" shapeId="0" xr:uid="{00000000-0006-0000-0100-000034060000}">
      <text>
        <r>
          <rPr>
            <sz val="11"/>
            <color theme="1"/>
            <rFont val="Calibri"/>
            <family val="2"/>
            <scheme val="minor"/>
          </rPr>
          <t>Introduzca un texto con la finalidad de la contratación</t>
        </r>
      </text>
    </comment>
    <comment ref="C1483" authorId="2" shapeId="0" xr:uid="{00000000-0006-0000-0100-000035060000}">
      <text>
        <r>
          <rPr>
            <sz val="11"/>
            <color theme="1"/>
            <rFont val="Calibri"/>
            <family val="2"/>
            <scheme val="minor"/>
          </rPr>
          <t>Seleccionar un valor del listado</t>
        </r>
      </text>
    </comment>
    <comment ref="D1483" authorId="2" shapeId="0" xr:uid="{00000000-0006-0000-0100-000036060000}">
      <text>
        <r>
          <rPr>
            <sz val="11"/>
            <color theme="1"/>
            <rFont val="Calibri"/>
            <family val="2"/>
            <scheme val="minor"/>
          </rPr>
          <t>Seleccione el tipo de procedimiento</t>
        </r>
      </text>
    </comment>
    <comment ref="E1483" authorId="2" shapeId="0" xr:uid="{00000000-0006-0000-0100-000037060000}">
      <text>
        <r>
          <rPr>
            <sz val="11"/>
            <color theme="1"/>
            <rFont val="Calibri"/>
            <family val="2"/>
            <scheme val="minor"/>
          </rPr>
          <t>Seleccione un valor de la lista</t>
        </r>
      </text>
    </comment>
    <comment ref="F1483" authorId="2" shapeId="0" xr:uid="{00000000-0006-0000-0100-000038060000}">
      <text>
        <r>
          <rPr>
            <sz val="11"/>
            <color theme="1"/>
            <rFont val="Calibri"/>
            <family val="2"/>
            <scheme val="minor"/>
          </rPr>
          <t>Introduzca el código SNIP</t>
        </r>
      </text>
    </comment>
    <comment ref="C1484" authorId="2" shapeId="0" xr:uid="{00000000-0006-0000-0100-000039060000}">
      <text>
        <r>
          <rPr>
            <sz val="11"/>
            <color theme="1"/>
            <rFont val="Calibri"/>
            <family val="2"/>
            <scheme val="minor"/>
          </rPr>
          <t>Introduzca la fecha de inicio del proceso, en formato dd-mm-aaaa</t>
        </r>
      </text>
    </comment>
    <comment ref="F1484"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2" shapeId="0" xr:uid="{00000000-0006-0000-0100-00003B060000}">
      <text/>
    </comment>
    <comment ref="C1486" authorId="2" shapeId="0" xr:uid="{00000000-0006-0000-0100-00003C060000}">
      <text>
        <r>
          <rPr>
            <sz val="11"/>
            <color theme="1"/>
            <rFont val="Calibri"/>
            <family val="2"/>
            <scheme val="minor"/>
          </rPr>
          <t>Introduzca la fecha prevista de adjudicación, en formato dd-mm-aaaa</t>
        </r>
      </text>
    </comment>
    <comment ref="F1486" authorId="2" shapeId="0" xr:uid="{00000000-0006-0000-0100-00003D060000}">
      <text/>
    </comment>
    <comment ref="F1487" authorId="2" shapeId="0" xr:uid="{00000000-0006-0000-0100-00003E060000}">
      <text/>
    </comment>
    <comment ref="A1489" authorId="2" shapeId="0" xr:uid="{00000000-0006-0000-0100-00003F060000}">
      <text>
        <r>
          <rPr>
            <sz val="11"/>
            <color theme="1"/>
            <rFont val="Calibri"/>
            <family val="2"/>
            <scheme val="minor"/>
          </rPr>
          <t>Introduzca un codigo UNSPSC</t>
        </r>
      </text>
    </comment>
    <comment ref="B1489" authorId="2" shapeId="0" xr:uid="{00000000-0006-0000-0100-000040060000}">
      <text>
        <r>
          <rPr>
            <sz val="11"/>
            <color theme="1"/>
            <rFont val="Calibri"/>
            <family val="2"/>
            <scheme val="minor"/>
          </rPr>
          <t>Descripción calculada automáticamente a partir de código del artículo</t>
        </r>
      </text>
    </comment>
    <comment ref="C1489" authorId="2" shapeId="0" xr:uid="{00000000-0006-0000-0100-000041060000}">
      <text>
        <r>
          <rPr>
            <sz val="11"/>
            <color theme="1"/>
            <rFont val="Calibri"/>
            <family val="2"/>
            <scheme val="minor"/>
          </rPr>
          <t>Seleccione un valor de la lista</t>
        </r>
      </text>
    </comment>
    <comment ref="D1489" authorId="2" shapeId="0" xr:uid="{00000000-0006-0000-0100-000042060000}">
      <text>
        <r>
          <rPr>
            <sz val="11"/>
            <color theme="1"/>
            <rFont val="Calibri"/>
            <family val="2"/>
            <scheme val="minor"/>
          </rPr>
          <t>Introduzca un número con dos decimales como máximo. Debe ser igual o mayor a la "Cantidad Real Consumida"</t>
        </r>
      </text>
    </comment>
    <comment ref="E1489" authorId="2" shapeId="0" xr:uid="{00000000-0006-0000-0100-000043060000}">
      <text>
        <r>
          <rPr>
            <sz val="11"/>
            <color theme="1"/>
            <rFont val="Calibri"/>
            <family val="2"/>
            <scheme val="minor"/>
          </rPr>
          <t>Introduzca un número con dos decimales como máximo</t>
        </r>
      </text>
    </comment>
    <comment ref="F1489" authorId="2" shapeId="0" xr:uid="{00000000-0006-0000-0100-000044060000}">
      <text>
        <r>
          <rPr>
            <sz val="11"/>
            <color theme="1"/>
            <rFont val="Calibri"/>
            <family val="2"/>
            <scheme val="minor"/>
          </rPr>
          <t>Monto calculado automáticamente por el sistema</t>
        </r>
      </text>
    </comment>
    <comment ref="A1496" authorId="2" shapeId="0" xr:uid="{00000000-0006-0000-0100-000045060000}">
      <text>
        <r>
          <rPr>
            <sz val="11"/>
            <color theme="1"/>
            <rFont val="Calibri"/>
            <family val="2"/>
            <scheme val="minor"/>
          </rPr>
          <t>Introducir un texto con el nombre o referencia de la contratación</t>
        </r>
      </text>
    </comment>
    <comment ref="B1496" authorId="2" shapeId="0" xr:uid="{00000000-0006-0000-0100-000046060000}">
      <text>
        <r>
          <rPr>
            <sz val="11"/>
            <color theme="1"/>
            <rFont val="Calibri"/>
            <family val="2"/>
            <scheme val="minor"/>
          </rPr>
          <t>Introduzca un texto con la finalidad de la contratación</t>
        </r>
      </text>
    </comment>
    <comment ref="C1496" authorId="2" shapeId="0" xr:uid="{00000000-0006-0000-0100-000047060000}">
      <text>
        <r>
          <rPr>
            <sz val="11"/>
            <color theme="1"/>
            <rFont val="Calibri"/>
            <family val="2"/>
            <scheme val="minor"/>
          </rPr>
          <t>Seleccionar un valor del listado</t>
        </r>
      </text>
    </comment>
    <comment ref="D1496" authorId="2" shapeId="0" xr:uid="{00000000-0006-0000-0100-000048060000}">
      <text>
        <r>
          <rPr>
            <sz val="11"/>
            <color theme="1"/>
            <rFont val="Calibri"/>
            <family val="2"/>
            <scheme val="minor"/>
          </rPr>
          <t>Seleccione el tipo de procedimiento</t>
        </r>
      </text>
    </comment>
    <comment ref="E1496" authorId="2" shapeId="0" xr:uid="{00000000-0006-0000-0100-000049060000}">
      <text>
        <r>
          <rPr>
            <sz val="11"/>
            <color theme="1"/>
            <rFont val="Calibri"/>
            <family val="2"/>
            <scheme val="minor"/>
          </rPr>
          <t>Seleccione un valor de la lista</t>
        </r>
      </text>
    </comment>
    <comment ref="F1496" authorId="2" shapeId="0" xr:uid="{00000000-0006-0000-0100-00004A060000}">
      <text>
        <r>
          <rPr>
            <sz val="11"/>
            <color theme="1"/>
            <rFont val="Calibri"/>
            <family val="2"/>
            <scheme val="minor"/>
          </rPr>
          <t>Introduzca el código SNIP</t>
        </r>
      </text>
    </comment>
    <comment ref="C1497" authorId="2" shapeId="0" xr:uid="{00000000-0006-0000-0100-00004B060000}">
      <text>
        <r>
          <rPr>
            <sz val="11"/>
            <color theme="1"/>
            <rFont val="Calibri"/>
            <family val="2"/>
            <scheme val="minor"/>
          </rPr>
          <t>Introduzca la fecha de inicio del proceso, en formato dd-mm-aaaa</t>
        </r>
      </text>
    </comment>
    <comment ref="F1497"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2" shapeId="0" xr:uid="{00000000-0006-0000-0100-00004D060000}">
      <text/>
    </comment>
    <comment ref="C1499" authorId="2" shapeId="0" xr:uid="{00000000-0006-0000-0100-00004E060000}">
      <text>
        <r>
          <rPr>
            <sz val="11"/>
            <color theme="1"/>
            <rFont val="Calibri"/>
            <family val="2"/>
            <scheme val="minor"/>
          </rPr>
          <t>Introduzca la fecha prevista de adjudicación, en formato dd-mm-aaaa</t>
        </r>
      </text>
    </comment>
    <comment ref="F1499" authorId="2" shapeId="0" xr:uid="{00000000-0006-0000-0100-00004F060000}">
      <text/>
    </comment>
    <comment ref="F1500" authorId="2" shapeId="0" xr:uid="{00000000-0006-0000-0100-000050060000}">
      <text/>
    </comment>
    <comment ref="A1502" authorId="2" shapeId="0" xr:uid="{00000000-0006-0000-0100-000051060000}">
      <text>
        <r>
          <rPr>
            <sz val="11"/>
            <color theme="1"/>
            <rFont val="Calibri"/>
            <family val="2"/>
            <scheme val="minor"/>
          </rPr>
          <t>Introduzca un codigo UNSPSC</t>
        </r>
      </text>
    </comment>
    <comment ref="B1502" authorId="2" shapeId="0" xr:uid="{00000000-0006-0000-0100-000052060000}">
      <text>
        <r>
          <rPr>
            <sz val="11"/>
            <color theme="1"/>
            <rFont val="Calibri"/>
            <family val="2"/>
            <scheme val="minor"/>
          </rPr>
          <t>Descripción calculada automáticamente a partir de código del artículo</t>
        </r>
      </text>
    </comment>
    <comment ref="C1502" authorId="2" shapeId="0" xr:uid="{00000000-0006-0000-0100-000053060000}">
      <text>
        <r>
          <rPr>
            <sz val="11"/>
            <color theme="1"/>
            <rFont val="Calibri"/>
            <family val="2"/>
            <scheme val="minor"/>
          </rPr>
          <t>Seleccione un valor de la lista</t>
        </r>
      </text>
    </comment>
    <comment ref="D1502" authorId="2" shapeId="0" xr:uid="{00000000-0006-0000-0100-000054060000}">
      <text>
        <r>
          <rPr>
            <sz val="11"/>
            <color theme="1"/>
            <rFont val="Calibri"/>
            <family val="2"/>
            <scheme val="minor"/>
          </rPr>
          <t>Introduzca un número con dos decimales como máximo. Debe ser igual o mayor a la "Cantidad Real Consumida"</t>
        </r>
      </text>
    </comment>
    <comment ref="E1502" authorId="2" shapeId="0" xr:uid="{00000000-0006-0000-0100-000055060000}">
      <text>
        <r>
          <rPr>
            <sz val="11"/>
            <color theme="1"/>
            <rFont val="Calibri"/>
            <family val="2"/>
            <scheme val="minor"/>
          </rPr>
          <t>Introduzca un número con dos decimales como máximo</t>
        </r>
      </text>
    </comment>
    <comment ref="F1502" authorId="2" shapeId="0" xr:uid="{00000000-0006-0000-0100-000056060000}">
      <text>
        <r>
          <rPr>
            <sz val="11"/>
            <color theme="1"/>
            <rFont val="Calibri"/>
            <family val="2"/>
            <scheme val="minor"/>
          </rPr>
          <t>Monto calculado automáticamente por el sistema</t>
        </r>
      </text>
    </comment>
    <comment ref="A1509" authorId="2" shapeId="0" xr:uid="{00000000-0006-0000-0100-000057060000}">
      <text>
        <r>
          <rPr>
            <sz val="11"/>
            <color theme="1"/>
            <rFont val="Calibri"/>
            <family val="2"/>
            <scheme val="minor"/>
          </rPr>
          <t>Introducir un texto con el nombre o referencia de la contratación</t>
        </r>
      </text>
    </comment>
    <comment ref="B1509" authorId="2" shapeId="0" xr:uid="{00000000-0006-0000-0100-000058060000}">
      <text>
        <r>
          <rPr>
            <sz val="11"/>
            <color theme="1"/>
            <rFont val="Calibri"/>
            <family val="2"/>
            <scheme val="minor"/>
          </rPr>
          <t>Introduzca un texto con la finalidad de la contratación</t>
        </r>
      </text>
    </comment>
    <comment ref="C1509" authorId="2" shapeId="0" xr:uid="{00000000-0006-0000-0100-000059060000}">
      <text>
        <r>
          <rPr>
            <sz val="11"/>
            <color theme="1"/>
            <rFont val="Calibri"/>
            <family val="2"/>
            <scheme val="minor"/>
          </rPr>
          <t>Seleccionar un valor del listado</t>
        </r>
      </text>
    </comment>
    <comment ref="D1509" authorId="2" shapeId="0" xr:uid="{00000000-0006-0000-0100-00005A060000}">
      <text>
        <r>
          <rPr>
            <sz val="11"/>
            <color theme="1"/>
            <rFont val="Calibri"/>
            <family val="2"/>
            <scheme val="minor"/>
          </rPr>
          <t>Seleccione el tipo de procedimiento</t>
        </r>
      </text>
    </comment>
    <comment ref="E1509" authorId="2" shapeId="0" xr:uid="{00000000-0006-0000-0100-00005B060000}">
      <text>
        <r>
          <rPr>
            <sz val="11"/>
            <color theme="1"/>
            <rFont val="Calibri"/>
            <family val="2"/>
            <scheme val="minor"/>
          </rPr>
          <t>Seleccione un valor de la lista</t>
        </r>
      </text>
    </comment>
    <comment ref="F1509" authorId="2" shapeId="0" xr:uid="{00000000-0006-0000-0100-00005C060000}">
      <text>
        <r>
          <rPr>
            <sz val="11"/>
            <color theme="1"/>
            <rFont val="Calibri"/>
            <family val="2"/>
            <scheme val="minor"/>
          </rPr>
          <t>Introduzca el código SNIP</t>
        </r>
      </text>
    </comment>
    <comment ref="C1510" authorId="2" shapeId="0" xr:uid="{00000000-0006-0000-0100-00005D060000}">
      <text>
        <r>
          <rPr>
            <sz val="11"/>
            <color theme="1"/>
            <rFont val="Calibri"/>
            <family val="2"/>
            <scheme val="minor"/>
          </rPr>
          <t>Introduzca la fecha de inicio del proceso, en formato dd-mm-aaaa</t>
        </r>
      </text>
    </comment>
    <comment ref="F1510"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2" shapeId="0" xr:uid="{00000000-0006-0000-0100-00005F060000}">
      <text/>
    </comment>
    <comment ref="C1512" authorId="2" shapeId="0" xr:uid="{00000000-0006-0000-0100-000060060000}">
      <text>
        <r>
          <rPr>
            <sz val="11"/>
            <color theme="1"/>
            <rFont val="Calibri"/>
            <family val="2"/>
            <scheme val="minor"/>
          </rPr>
          <t>Introduzca la fecha prevista de adjudicación, en formato dd-mm-aaaa</t>
        </r>
      </text>
    </comment>
    <comment ref="F1512" authorId="2" shapeId="0" xr:uid="{00000000-0006-0000-0100-000061060000}">
      <text/>
    </comment>
    <comment ref="F1513" authorId="2" shapeId="0" xr:uid="{00000000-0006-0000-0100-000062060000}">
      <text/>
    </comment>
    <comment ref="A1515" authorId="2" shapeId="0" xr:uid="{00000000-0006-0000-0100-000063060000}">
      <text>
        <r>
          <rPr>
            <sz val="11"/>
            <color theme="1"/>
            <rFont val="Calibri"/>
            <family val="2"/>
            <scheme val="minor"/>
          </rPr>
          <t>Introduzca un codigo UNSPSC</t>
        </r>
      </text>
    </comment>
    <comment ref="B1515" authorId="2" shapeId="0" xr:uid="{00000000-0006-0000-0100-000064060000}">
      <text>
        <r>
          <rPr>
            <sz val="11"/>
            <color theme="1"/>
            <rFont val="Calibri"/>
            <family val="2"/>
            <scheme val="minor"/>
          </rPr>
          <t>Descripción calculada automáticamente a partir de código del artículo</t>
        </r>
      </text>
    </comment>
    <comment ref="C1515" authorId="2" shapeId="0" xr:uid="{00000000-0006-0000-0100-000065060000}">
      <text>
        <r>
          <rPr>
            <sz val="11"/>
            <color theme="1"/>
            <rFont val="Calibri"/>
            <family val="2"/>
            <scheme val="minor"/>
          </rPr>
          <t>Seleccione un valor de la lista</t>
        </r>
      </text>
    </comment>
    <comment ref="D1515" authorId="2" shapeId="0" xr:uid="{00000000-0006-0000-0100-000066060000}">
      <text>
        <r>
          <rPr>
            <sz val="11"/>
            <color theme="1"/>
            <rFont val="Calibri"/>
            <family val="2"/>
            <scheme val="minor"/>
          </rPr>
          <t>Introduzca un número con dos decimales como máximo. Debe ser igual o mayor a la "Cantidad Real Consumida"</t>
        </r>
      </text>
    </comment>
    <comment ref="E1515" authorId="2" shapeId="0" xr:uid="{00000000-0006-0000-0100-000067060000}">
      <text>
        <r>
          <rPr>
            <sz val="11"/>
            <color theme="1"/>
            <rFont val="Calibri"/>
            <family val="2"/>
            <scheme val="minor"/>
          </rPr>
          <t>Introduzca un número con dos decimales como máximo</t>
        </r>
      </text>
    </comment>
    <comment ref="F1515" authorId="2" shapeId="0" xr:uid="{00000000-0006-0000-0100-000068060000}">
      <text>
        <r>
          <rPr>
            <sz val="11"/>
            <color theme="1"/>
            <rFont val="Calibri"/>
            <family val="2"/>
            <scheme val="minor"/>
          </rPr>
          <t>Monto calculado automáticamente por el sistema</t>
        </r>
      </text>
    </comment>
    <comment ref="A1522" authorId="2" shapeId="0" xr:uid="{00000000-0006-0000-0100-000069060000}">
      <text>
        <r>
          <rPr>
            <sz val="11"/>
            <color theme="1"/>
            <rFont val="Calibri"/>
            <family val="2"/>
            <scheme val="minor"/>
          </rPr>
          <t>Introducir un texto con el nombre o referencia de la contratación</t>
        </r>
      </text>
    </comment>
    <comment ref="B1522" authorId="2" shapeId="0" xr:uid="{00000000-0006-0000-0100-00006A060000}">
      <text>
        <r>
          <rPr>
            <sz val="11"/>
            <color theme="1"/>
            <rFont val="Calibri"/>
            <family val="2"/>
            <scheme val="minor"/>
          </rPr>
          <t>Introduzca un texto con la finalidad de la contratación</t>
        </r>
      </text>
    </comment>
    <comment ref="C1522" authorId="2" shapeId="0" xr:uid="{00000000-0006-0000-0100-00006B060000}">
      <text>
        <r>
          <rPr>
            <sz val="11"/>
            <color theme="1"/>
            <rFont val="Calibri"/>
            <family val="2"/>
            <scheme val="minor"/>
          </rPr>
          <t>Seleccionar un valor del listado</t>
        </r>
      </text>
    </comment>
    <comment ref="D1522" authorId="2" shapeId="0" xr:uid="{00000000-0006-0000-0100-00006C060000}">
      <text>
        <r>
          <rPr>
            <sz val="11"/>
            <color theme="1"/>
            <rFont val="Calibri"/>
            <family val="2"/>
            <scheme val="minor"/>
          </rPr>
          <t>Seleccione el tipo de procedimiento</t>
        </r>
      </text>
    </comment>
    <comment ref="E1522" authorId="2" shapeId="0" xr:uid="{00000000-0006-0000-0100-00006D060000}">
      <text>
        <r>
          <rPr>
            <sz val="11"/>
            <color theme="1"/>
            <rFont val="Calibri"/>
            <family val="2"/>
            <scheme val="minor"/>
          </rPr>
          <t>Seleccione un valor de la lista</t>
        </r>
      </text>
    </comment>
    <comment ref="F1522" authorId="2" shapeId="0" xr:uid="{00000000-0006-0000-0100-00006E060000}">
      <text>
        <r>
          <rPr>
            <sz val="11"/>
            <color theme="1"/>
            <rFont val="Calibri"/>
            <family val="2"/>
            <scheme val="minor"/>
          </rPr>
          <t>Introduzca el código SNIP</t>
        </r>
      </text>
    </comment>
    <comment ref="C1523" authorId="2" shapeId="0" xr:uid="{00000000-0006-0000-0100-00006F060000}">
      <text>
        <r>
          <rPr>
            <sz val="11"/>
            <color theme="1"/>
            <rFont val="Calibri"/>
            <family val="2"/>
            <scheme val="minor"/>
          </rPr>
          <t>Introduzca la fecha de inicio del proceso, en formato dd-mm-aaaa</t>
        </r>
      </text>
    </comment>
    <comment ref="F1523"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2" shapeId="0" xr:uid="{00000000-0006-0000-0100-000071060000}">
      <text/>
    </comment>
    <comment ref="C1525" authorId="2" shapeId="0" xr:uid="{00000000-0006-0000-0100-000072060000}">
      <text>
        <r>
          <rPr>
            <sz val="11"/>
            <color theme="1"/>
            <rFont val="Calibri"/>
            <family val="2"/>
            <scheme val="minor"/>
          </rPr>
          <t>Introduzca la fecha prevista de adjudicación, en formato dd-mm-aaaa</t>
        </r>
      </text>
    </comment>
    <comment ref="F1525" authorId="2" shapeId="0" xr:uid="{00000000-0006-0000-0100-000073060000}">
      <text/>
    </comment>
    <comment ref="F1526" authorId="2" shapeId="0" xr:uid="{00000000-0006-0000-0100-000074060000}">
      <text/>
    </comment>
    <comment ref="A1528" authorId="2" shapeId="0" xr:uid="{00000000-0006-0000-0100-000075060000}">
      <text>
        <r>
          <rPr>
            <sz val="11"/>
            <color theme="1"/>
            <rFont val="Calibri"/>
            <family val="2"/>
            <scheme val="minor"/>
          </rPr>
          <t>Introduzca un codigo UNSPSC</t>
        </r>
      </text>
    </comment>
    <comment ref="B1528" authorId="2" shapeId="0" xr:uid="{00000000-0006-0000-0100-000076060000}">
      <text>
        <r>
          <rPr>
            <sz val="11"/>
            <color theme="1"/>
            <rFont val="Calibri"/>
            <family val="2"/>
            <scheme val="minor"/>
          </rPr>
          <t>Descripción calculada automáticamente a partir de código del artículo</t>
        </r>
      </text>
    </comment>
    <comment ref="C1528" authorId="2" shapeId="0" xr:uid="{00000000-0006-0000-0100-000077060000}">
      <text>
        <r>
          <rPr>
            <sz val="11"/>
            <color theme="1"/>
            <rFont val="Calibri"/>
            <family val="2"/>
            <scheme val="minor"/>
          </rPr>
          <t>Seleccione un valor de la lista</t>
        </r>
      </text>
    </comment>
    <comment ref="D1528" authorId="2" shapeId="0" xr:uid="{00000000-0006-0000-0100-000078060000}">
      <text>
        <r>
          <rPr>
            <sz val="11"/>
            <color theme="1"/>
            <rFont val="Calibri"/>
            <family val="2"/>
            <scheme val="minor"/>
          </rPr>
          <t>Introduzca un número con dos decimales como máximo. Debe ser igual o mayor a la "Cantidad Real Consumida"</t>
        </r>
      </text>
    </comment>
    <comment ref="E1528" authorId="2" shapeId="0" xr:uid="{00000000-0006-0000-0100-000079060000}">
      <text>
        <r>
          <rPr>
            <sz val="11"/>
            <color theme="1"/>
            <rFont val="Calibri"/>
            <family val="2"/>
            <scheme val="minor"/>
          </rPr>
          <t>Introduzca un número con dos decimales como máximo</t>
        </r>
      </text>
    </comment>
    <comment ref="F1528" authorId="2" shapeId="0" xr:uid="{00000000-0006-0000-0100-00007A060000}">
      <text>
        <r>
          <rPr>
            <sz val="11"/>
            <color theme="1"/>
            <rFont val="Calibri"/>
            <family val="2"/>
            <scheme val="minor"/>
          </rPr>
          <t>Monto calculado automáticamente por el sistema</t>
        </r>
      </text>
    </comment>
    <comment ref="A1536" authorId="2" shapeId="0" xr:uid="{00000000-0006-0000-0100-00007B060000}">
      <text>
        <r>
          <rPr>
            <sz val="11"/>
            <color theme="1"/>
            <rFont val="Calibri"/>
            <family val="2"/>
            <scheme val="minor"/>
          </rPr>
          <t>Introducir un texto con el nombre o referencia de la contratación</t>
        </r>
      </text>
    </comment>
    <comment ref="B1536" authorId="2" shapeId="0" xr:uid="{00000000-0006-0000-0100-00007C060000}">
      <text>
        <r>
          <rPr>
            <sz val="11"/>
            <color theme="1"/>
            <rFont val="Calibri"/>
            <family val="2"/>
            <scheme val="minor"/>
          </rPr>
          <t>Introduzca un texto con la finalidad de la contratación</t>
        </r>
      </text>
    </comment>
    <comment ref="C1536" authorId="2" shapeId="0" xr:uid="{00000000-0006-0000-0100-00007D060000}">
      <text>
        <r>
          <rPr>
            <sz val="11"/>
            <color theme="1"/>
            <rFont val="Calibri"/>
            <family val="2"/>
            <scheme val="minor"/>
          </rPr>
          <t>Seleccionar un valor del listado</t>
        </r>
      </text>
    </comment>
    <comment ref="D1536" authorId="2" shapeId="0" xr:uid="{00000000-0006-0000-0100-00007E060000}">
      <text>
        <r>
          <rPr>
            <sz val="11"/>
            <color theme="1"/>
            <rFont val="Calibri"/>
            <family val="2"/>
            <scheme val="minor"/>
          </rPr>
          <t>Seleccione el tipo de procedimiento</t>
        </r>
      </text>
    </comment>
    <comment ref="E1536" authorId="2" shapeId="0" xr:uid="{00000000-0006-0000-0100-00007F060000}">
      <text>
        <r>
          <rPr>
            <sz val="11"/>
            <color theme="1"/>
            <rFont val="Calibri"/>
            <family val="2"/>
            <scheme val="minor"/>
          </rPr>
          <t>Seleccione un valor de la lista</t>
        </r>
      </text>
    </comment>
    <comment ref="F1536" authorId="2" shapeId="0" xr:uid="{00000000-0006-0000-0100-000080060000}">
      <text>
        <r>
          <rPr>
            <sz val="11"/>
            <color theme="1"/>
            <rFont val="Calibri"/>
            <family val="2"/>
            <scheme val="minor"/>
          </rPr>
          <t>Introduzca el código SNIP</t>
        </r>
      </text>
    </comment>
    <comment ref="C1537" authorId="2" shapeId="0" xr:uid="{00000000-0006-0000-0100-000081060000}">
      <text>
        <r>
          <rPr>
            <sz val="11"/>
            <color theme="1"/>
            <rFont val="Calibri"/>
            <family val="2"/>
            <scheme val="minor"/>
          </rPr>
          <t>Introduzca la fecha de inicio del proceso, en formato dd-mm-aaaa</t>
        </r>
      </text>
    </comment>
    <comment ref="F1537"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2" shapeId="0" xr:uid="{00000000-0006-0000-0100-000083060000}">
      <text/>
    </comment>
    <comment ref="C1539" authorId="2" shapeId="0" xr:uid="{00000000-0006-0000-0100-000084060000}">
      <text>
        <r>
          <rPr>
            <sz val="11"/>
            <color theme="1"/>
            <rFont val="Calibri"/>
            <family val="2"/>
            <scheme val="minor"/>
          </rPr>
          <t>Introduzca la fecha prevista de adjudicación, en formato dd-mm-aaaa</t>
        </r>
      </text>
    </comment>
    <comment ref="F1539" authorId="2" shapeId="0" xr:uid="{00000000-0006-0000-0100-000085060000}">
      <text/>
    </comment>
    <comment ref="F1540" authorId="2" shapeId="0" xr:uid="{00000000-0006-0000-0100-000086060000}">
      <text/>
    </comment>
    <comment ref="A1542" authorId="2" shapeId="0" xr:uid="{00000000-0006-0000-0100-000087060000}">
      <text>
        <r>
          <rPr>
            <sz val="11"/>
            <color theme="1"/>
            <rFont val="Calibri"/>
            <family val="2"/>
            <scheme val="minor"/>
          </rPr>
          <t>Introduzca un codigo UNSPSC</t>
        </r>
      </text>
    </comment>
    <comment ref="B1542" authorId="2" shapeId="0" xr:uid="{00000000-0006-0000-0100-000088060000}">
      <text>
        <r>
          <rPr>
            <sz val="11"/>
            <color theme="1"/>
            <rFont val="Calibri"/>
            <family val="2"/>
            <scheme val="minor"/>
          </rPr>
          <t>Descripción calculada automáticamente a partir de código del artículo</t>
        </r>
      </text>
    </comment>
    <comment ref="C1542" authorId="2" shapeId="0" xr:uid="{00000000-0006-0000-0100-000089060000}">
      <text>
        <r>
          <rPr>
            <sz val="11"/>
            <color theme="1"/>
            <rFont val="Calibri"/>
            <family val="2"/>
            <scheme val="minor"/>
          </rPr>
          <t>Seleccione un valor de la lista</t>
        </r>
      </text>
    </comment>
    <comment ref="D1542" authorId="2" shapeId="0" xr:uid="{00000000-0006-0000-0100-00008A060000}">
      <text>
        <r>
          <rPr>
            <sz val="11"/>
            <color theme="1"/>
            <rFont val="Calibri"/>
            <family val="2"/>
            <scheme val="minor"/>
          </rPr>
          <t>Introduzca un número con dos decimales como máximo. Debe ser igual o mayor a la "Cantidad Real Consumida"</t>
        </r>
      </text>
    </comment>
    <comment ref="E1542" authorId="2" shapeId="0" xr:uid="{00000000-0006-0000-0100-00008B060000}">
      <text>
        <r>
          <rPr>
            <sz val="11"/>
            <color theme="1"/>
            <rFont val="Calibri"/>
            <family val="2"/>
            <scheme val="minor"/>
          </rPr>
          <t>Introduzca un número con dos decimales como máximo</t>
        </r>
      </text>
    </comment>
    <comment ref="F1542" authorId="2" shapeId="0" xr:uid="{00000000-0006-0000-0100-00008C060000}">
      <text>
        <r>
          <rPr>
            <sz val="11"/>
            <color theme="1"/>
            <rFont val="Calibri"/>
            <family val="2"/>
            <scheme val="minor"/>
          </rPr>
          <t>Monto calculado automáticamente por el sistema</t>
        </r>
      </text>
    </comment>
    <comment ref="A1550" authorId="2" shapeId="0" xr:uid="{00000000-0006-0000-0100-00008D060000}">
      <text>
        <r>
          <rPr>
            <sz val="11"/>
            <color theme="1"/>
            <rFont val="Calibri"/>
            <family val="2"/>
            <scheme val="minor"/>
          </rPr>
          <t>Introducir un texto con el nombre o referencia de la contratación</t>
        </r>
      </text>
    </comment>
    <comment ref="B1550" authorId="2" shapeId="0" xr:uid="{00000000-0006-0000-0100-00008E060000}">
      <text>
        <r>
          <rPr>
            <sz val="11"/>
            <color theme="1"/>
            <rFont val="Calibri"/>
            <family val="2"/>
            <scheme val="minor"/>
          </rPr>
          <t>Introduzca un texto con la finalidad de la contratación</t>
        </r>
      </text>
    </comment>
    <comment ref="C1550" authorId="2" shapeId="0" xr:uid="{00000000-0006-0000-0100-00008F060000}">
      <text>
        <r>
          <rPr>
            <sz val="11"/>
            <color theme="1"/>
            <rFont val="Calibri"/>
            <family val="2"/>
            <scheme val="minor"/>
          </rPr>
          <t>Seleccionar un valor del listado</t>
        </r>
      </text>
    </comment>
    <comment ref="D1550" authorId="2" shapeId="0" xr:uid="{00000000-0006-0000-0100-000090060000}">
      <text>
        <r>
          <rPr>
            <sz val="11"/>
            <color theme="1"/>
            <rFont val="Calibri"/>
            <family val="2"/>
            <scheme val="minor"/>
          </rPr>
          <t>Seleccione el tipo de procedimiento</t>
        </r>
      </text>
    </comment>
    <comment ref="E1550" authorId="2" shapeId="0" xr:uid="{00000000-0006-0000-0100-000091060000}">
      <text>
        <r>
          <rPr>
            <sz val="11"/>
            <color theme="1"/>
            <rFont val="Calibri"/>
            <family val="2"/>
            <scheme val="minor"/>
          </rPr>
          <t>Seleccione un valor de la lista</t>
        </r>
      </text>
    </comment>
    <comment ref="F1550" authorId="2" shapeId="0" xr:uid="{00000000-0006-0000-0100-000092060000}">
      <text>
        <r>
          <rPr>
            <sz val="11"/>
            <color theme="1"/>
            <rFont val="Calibri"/>
            <family val="2"/>
            <scheme val="minor"/>
          </rPr>
          <t>Introduzca el código SNIP</t>
        </r>
      </text>
    </comment>
    <comment ref="C1551" authorId="2" shapeId="0" xr:uid="{00000000-0006-0000-0100-000093060000}">
      <text>
        <r>
          <rPr>
            <sz val="11"/>
            <color theme="1"/>
            <rFont val="Calibri"/>
            <family val="2"/>
            <scheme val="minor"/>
          </rPr>
          <t>Introduzca la fecha de inicio del proceso, en formato dd-mm-aaaa</t>
        </r>
      </text>
    </comment>
    <comment ref="F1551"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2" shapeId="0" xr:uid="{00000000-0006-0000-0100-000095060000}">
      <text/>
    </comment>
    <comment ref="C1553" authorId="2" shapeId="0" xr:uid="{00000000-0006-0000-0100-000096060000}">
      <text>
        <r>
          <rPr>
            <sz val="11"/>
            <color theme="1"/>
            <rFont val="Calibri"/>
            <family val="2"/>
            <scheme val="minor"/>
          </rPr>
          <t>Introduzca la fecha prevista de adjudicación, en formato dd-mm-aaaa</t>
        </r>
      </text>
    </comment>
    <comment ref="F1553" authorId="2" shapeId="0" xr:uid="{00000000-0006-0000-0100-000097060000}">
      <text/>
    </comment>
    <comment ref="F1554" authorId="2" shapeId="0" xr:uid="{00000000-0006-0000-0100-000098060000}">
      <text/>
    </comment>
    <comment ref="A1556" authorId="2" shapeId="0" xr:uid="{00000000-0006-0000-0100-000099060000}">
      <text>
        <r>
          <rPr>
            <sz val="11"/>
            <color theme="1"/>
            <rFont val="Calibri"/>
            <family val="2"/>
            <scheme val="minor"/>
          </rPr>
          <t>Introduzca un codigo UNSPSC</t>
        </r>
      </text>
    </comment>
    <comment ref="B1556" authorId="2" shapeId="0" xr:uid="{00000000-0006-0000-0100-00009A060000}">
      <text>
        <r>
          <rPr>
            <sz val="11"/>
            <color theme="1"/>
            <rFont val="Calibri"/>
            <family val="2"/>
            <scheme val="minor"/>
          </rPr>
          <t>Descripción calculada automáticamente a partir de código del artículo</t>
        </r>
      </text>
    </comment>
    <comment ref="C1556" authorId="2" shapeId="0" xr:uid="{00000000-0006-0000-0100-00009B060000}">
      <text>
        <r>
          <rPr>
            <sz val="11"/>
            <color theme="1"/>
            <rFont val="Calibri"/>
            <family val="2"/>
            <scheme val="minor"/>
          </rPr>
          <t>Seleccione un valor de la lista</t>
        </r>
      </text>
    </comment>
    <comment ref="D1556" authorId="2" shapeId="0" xr:uid="{00000000-0006-0000-0100-00009C060000}">
      <text>
        <r>
          <rPr>
            <sz val="11"/>
            <color theme="1"/>
            <rFont val="Calibri"/>
            <family val="2"/>
            <scheme val="minor"/>
          </rPr>
          <t>Introduzca un número con dos decimales como máximo. Debe ser igual o mayor a la "Cantidad Real Consumida"</t>
        </r>
      </text>
    </comment>
    <comment ref="E1556" authorId="2" shapeId="0" xr:uid="{00000000-0006-0000-0100-00009D060000}">
      <text>
        <r>
          <rPr>
            <sz val="11"/>
            <color theme="1"/>
            <rFont val="Calibri"/>
            <family val="2"/>
            <scheme val="minor"/>
          </rPr>
          <t>Introduzca un número con dos decimales como máximo</t>
        </r>
      </text>
    </comment>
    <comment ref="F1556" authorId="2" shapeId="0" xr:uid="{00000000-0006-0000-0100-00009E060000}">
      <text>
        <r>
          <rPr>
            <sz val="11"/>
            <color theme="1"/>
            <rFont val="Calibri"/>
            <family val="2"/>
            <scheme val="minor"/>
          </rPr>
          <t>Monto calculado automáticamente por el sistema</t>
        </r>
      </text>
    </comment>
    <comment ref="A1564" authorId="2" shapeId="0" xr:uid="{00000000-0006-0000-0100-00009F060000}">
      <text>
        <r>
          <rPr>
            <sz val="11"/>
            <color theme="1"/>
            <rFont val="Calibri"/>
            <family val="2"/>
            <scheme val="minor"/>
          </rPr>
          <t>Introducir un texto con el nombre o referencia de la contratación</t>
        </r>
      </text>
    </comment>
    <comment ref="B1564" authorId="2" shapeId="0" xr:uid="{00000000-0006-0000-0100-0000A0060000}">
      <text>
        <r>
          <rPr>
            <sz val="11"/>
            <color theme="1"/>
            <rFont val="Calibri"/>
            <family val="2"/>
            <scheme val="minor"/>
          </rPr>
          <t>Introduzca un texto con la finalidad de la contratación</t>
        </r>
      </text>
    </comment>
    <comment ref="C1564" authorId="2" shapeId="0" xr:uid="{00000000-0006-0000-0100-0000A1060000}">
      <text>
        <r>
          <rPr>
            <sz val="11"/>
            <color theme="1"/>
            <rFont val="Calibri"/>
            <family val="2"/>
            <scheme val="minor"/>
          </rPr>
          <t>Seleccionar un valor del listado</t>
        </r>
      </text>
    </comment>
    <comment ref="D1564" authorId="2" shapeId="0" xr:uid="{00000000-0006-0000-0100-0000A2060000}">
      <text>
        <r>
          <rPr>
            <sz val="11"/>
            <color theme="1"/>
            <rFont val="Calibri"/>
            <family val="2"/>
            <scheme val="minor"/>
          </rPr>
          <t>Seleccione el tipo de procedimiento</t>
        </r>
      </text>
    </comment>
    <comment ref="E1564" authorId="2" shapeId="0" xr:uid="{00000000-0006-0000-0100-0000A3060000}">
      <text>
        <r>
          <rPr>
            <sz val="11"/>
            <color theme="1"/>
            <rFont val="Calibri"/>
            <family val="2"/>
            <scheme val="minor"/>
          </rPr>
          <t>Seleccione un valor de la lista</t>
        </r>
      </text>
    </comment>
    <comment ref="F1564" authorId="2" shapeId="0" xr:uid="{00000000-0006-0000-0100-0000A4060000}">
      <text>
        <r>
          <rPr>
            <sz val="11"/>
            <color theme="1"/>
            <rFont val="Calibri"/>
            <family val="2"/>
            <scheme val="minor"/>
          </rPr>
          <t>Introduzca el código SNIP</t>
        </r>
      </text>
    </comment>
    <comment ref="C1565" authorId="2" shapeId="0" xr:uid="{00000000-0006-0000-0100-0000A5060000}">
      <text>
        <r>
          <rPr>
            <sz val="11"/>
            <color theme="1"/>
            <rFont val="Calibri"/>
            <family val="2"/>
            <scheme val="minor"/>
          </rPr>
          <t>Introduzca la fecha de inicio del proceso, en formato dd-mm-aaaa</t>
        </r>
      </text>
    </comment>
    <comment ref="F1565"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shapeId="0" xr:uid="{00000000-0006-0000-0100-0000A7060000}">
      <text/>
    </comment>
    <comment ref="C1567" authorId="2" shapeId="0" xr:uid="{00000000-0006-0000-0100-0000A8060000}">
      <text>
        <r>
          <rPr>
            <sz val="11"/>
            <color theme="1"/>
            <rFont val="Calibri"/>
            <family val="2"/>
            <scheme val="minor"/>
          </rPr>
          <t>Introduzca la fecha prevista de adjudicación, en formato dd-mm-aaaa</t>
        </r>
      </text>
    </comment>
    <comment ref="F1567" authorId="2" shapeId="0" xr:uid="{00000000-0006-0000-0100-0000A9060000}">
      <text/>
    </comment>
    <comment ref="F1568" authorId="2" shapeId="0" xr:uid="{00000000-0006-0000-0100-0000AA060000}">
      <text/>
    </comment>
    <comment ref="A1570" authorId="2" shapeId="0" xr:uid="{00000000-0006-0000-0100-0000AB060000}">
      <text>
        <r>
          <rPr>
            <sz val="11"/>
            <color theme="1"/>
            <rFont val="Calibri"/>
            <family val="2"/>
            <scheme val="minor"/>
          </rPr>
          <t>Introduzca un codigo UNSPSC</t>
        </r>
      </text>
    </comment>
    <comment ref="B1570" authorId="2" shapeId="0" xr:uid="{00000000-0006-0000-0100-0000AC060000}">
      <text>
        <r>
          <rPr>
            <sz val="11"/>
            <color theme="1"/>
            <rFont val="Calibri"/>
            <family val="2"/>
            <scheme val="minor"/>
          </rPr>
          <t>Descripción calculada automáticamente a partir de código del artículo</t>
        </r>
      </text>
    </comment>
    <comment ref="C1570" authorId="2" shapeId="0" xr:uid="{00000000-0006-0000-0100-0000AD060000}">
      <text>
        <r>
          <rPr>
            <sz val="11"/>
            <color theme="1"/>
            <rFont val="Calibri"/>
            <family val="2"/>
            <scheme val="minor"/>
          </rPr>
          <t>Seleccione un valor de la lista</t>
        </r>
      </text>
    </comment>
    <comment ref="D1570" authorId="2" shapeId="0" xr:uid="{00000000-0006-0000-0100-0000AE060000}">
      <text>
        <r>
          <rPr>
            <sz val="11"/>
            <color theme="1"/>
            <rFont val="Calibri"/>
            <family val="2"/>
            <scheme val="minor"/>
          </rPr>
          <t>Introduzca un número con dos decimales como máximo. Debe ser igual o mayor a la "Cantidad Real Consumida"</t>
        </r>
      </text>
    </comment>
    <comment ref="E1570" authorId="2" shapeId="0" xr:uid="{00000000-0006-0000-0100-0000AF060000}">
      <text>
        <r>
          <rPr>
            <sz val="11"/>
            <color theme="1"/>
            <rFont val="Calibri"/>
            <family val="2"/>
            <scheme val="minor"/>
          </rPr>
          <t>Introduzca un número con dos decimales como máximo</t>
        </r>
      </text>
    </comment>
    <comment ref="F1570" authorId="2" shapeId="0" xr:uid="{00000000-0006-0000-0100-0000B0060000}">
      <text>
        <r>
          <rPr>
            <sz val="11"/>
            <color theme="1"/>
            <rFont val="Calibri"/>
            <family val="2"/>
            <scheme val="minor"/>
          </rPr>
          <t>Monto calculado automáticamente por el sistema</t>
        </r>
      </text>
    </comment>
    <comment ref="A1578" authorId="2" shapeId="0" xr:uid="{00000000-0006-0000-0100-0000B1060000}">
      <text>
        <r>
          <rPr>
            <sz val="11"/>
            <color theme="1"/>
            <rFont val="Calibri"/>
            <family val="2"/>
            <scheme val="minor"/>
          </rPr>
          <t>Introducir un texto con el nombre o referencia de la contratación</t>
        </r>
      </text>
    </comment>
    <comment ref="B1578" authorId="2" shapeId="0" xr:uid="{00000000-0006-0000-0100-0000B2060000}">
      <text>
        <r>
          <rPr>
            <sz val="11"/>
            <color theme="1"/>
            <rFont val="Calibri"/>
            <family val="2"/>
            <scheme val="minor"/>
          </rPr>
          <t>Introduzca un texto con la finalidad de la contratación</t>
        </r>
      </text>
    </comment>
    <comment ref="C1578" authorId="2" shapeId="0" xr:uid="{00000000-0006-0000-0100-0000B3060000}">
      <text>
        <r>
          <rPr>
            <sz val="11"/>
            <color theme="1"/>
            <rFont val="Calibri"/>
            <family val="2"/>
            <scheme val="minor"/>
          </rPr>
          <t>Seleccionar un valor del listado</t>
        </r>
      </text>
    </comment>
    <comment ref="D1578" authorId="2" shapeId="0" xr:uid="{00000000-0006-0000-0100-0000B4060000}">
      <text>
        <r>
          <rPr>
            <sz val="11"/>
            <color theme="1"/>
            <rFont val="Calibri"/>
            <family val="2"/>
            <scheme val="minor"/>
          </rPr>
          <t>Seleccione el tipo de procedimiento</t>
        </r>
      </text>
    </comment>
    <comment ref="E1578" authorId="2" shapeId="0" xr:uid="{00000000-0006-0000-0100-0000B5060000}">
      <text>
        <r>
          <rPr>
            <sz val="11"/>
            <color theme="1"/>
            <rFont val="Calibri"/>
            <family val="2"/>
            <scheme val="minor"/>
          </rPr>
          <t>Seleccione un valor de la lista</t>
        </r>
      </text>
    </comment>
    <comment ref="F1578" authorId="2" shapeId="0" xr:uid="{00000000-0006-0000-0100-0000B6060000}">
      <text>
        <r>
          <rPr>
            <sz val="11"/>
            <color theme="1"/>
            <rFont val="Calibri"/>
            <family val="2"/>
            <scheme val="minor"/>
          </rPr>
          <t>Introduzca el código SNIP</t>
        </r>
      </text>
    </comment>
    <comment ref="C1579" authorId="2" shapeId="0" xr:uid="{00000000-0006-0000-0100-0000B7060000}">
      <text>
        <r>
          <rPr>
            <sz val="11"/>
            <color theme="1"/>
            <rFont val="Calibri"/>
            <family val="2"/>
            <scheme val="minor"/>
          </rPr>
          <t>Introduzca la fecha de inicio del proceso, en formato dd-mm-aaaa</t>
        </r>
      </text>
    </comment>
    <comment ref="F1579" authorId="2"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2" shapeId="0" xr:uid="{00000000-0006-0000-0100-0000B9060000}">
      <text/>
    </comment>
    <comment ref="C1581" authorId="2" shapeId="0" xr:uid="{00000000-0006-0000-0100-0000BA060000}">
      <text>
        <r>
          <rPr>
            <sz val="11"/>
            <color theme="1"/>
            <rFont val="Calibri"/>
            <family val="2"/>
            <scheme val="minor"/>
          </rPr>
          <t>Introduzca la fecha prevista de adjudicación, en formato dd-mm-aaaa</t>
        </r>
      </text>
    </comment>
    <comment ref="F1581" authorId="2" shapeId="0" xr:uid="{00000000-0006-0000-0100-0000BB060000}">
      <text/>
    </comment>
    <comment ref="F1582" authorId="2" shapeId="0" xr:uid="{00000000-0006-0000-0100-0000BC060000}">
      <text/>
    </comment>
    <comment ref="A1584" authorId="2" shapeId="0" xr:uid="{00000000-0006-0000-0100-0000BD060000}">
      <text>
        <r>
          <rPr>
            <sz val="11"/>
            <color theme="1"/>
            <rFont val="Calibri"/>
            <family val="2"/>
            <scheme val="minor"/>
          </rPr>
          <t>Introduzca un codigo UNSPSC</t>
        </r>
      </text>
    </comment>
    <comment ref="B1584" authorId="2" shapeId="0" xr:uid="{00000000-0006-0000-0100-0000BE060000}">
      <text>
        <r>
          <rPr>
            <sz val="11"/>
            <color theme="1"/>
            <rFont val="Calibri"/>
            <family val="2"/>
            <scheme val="minor"/>
          </rPr>
          <t>Descripción calculada automáticamente a partir de código del artículo</t>
        </r>
      </text>
    </comment>
    <comment ref="C1584" authorId="2" shapeId="0" xr:uid="{00000000-0006-0000-0100-0000BF060000}">
      <text>
        <r>
          <rPr>
            <sz val="11"/>
            <color theme="1"/>
            <rFont val="Calibri"/>
            <family val="2"/>
            <scheme val="minor"/>
          </rPr>
          <t>Seleccione un valor de la lista</t>
        </r>
      </text>
    </comment>
    <comment ref="D1584" authorId="2" shapeId="0" xr:uid="{00000000-0006-0000-0100-0000C0060000}">
      <text>
        <r>
          <rPr>
            <sz val="11"/>
            <color theme="1"/>
            <rFont val="Calibri"/>
            <family val="2"/>
            <scheme val="minor"/>
          </rPr>
          <t>Introduzca un número con dos decimales como máximo. Debe ser igual o mayor a la "Cantidad Real Consumida"</t>
        </r>
      </text>
    </comment>
    <comment ref="E1584" authorId="2" shapeId="0" xr:uid="{00000000-0006-0000-0100-0000C1060000}">
      <text>
        <r>
          <rPr>
            <sz val="11"/>
            <color theme="1"/>
            <rFont val="Calibri"/>
            <family val="2"/>
            <scheme val="minor"/>
          </rPr>
          <t>Introduzca un número con dos decimales como máximo</t>
        </r>
      </text>
    </comment>
    <comment ref="F1584" authorId="2" shapeId="0" xr:uid="{00000000-0006-0000-0100-0000C2060000}">
      <text>
        <r>
          <rPr>
            <sz val="11"/>
            <color theme="1"/>
            <rFont val="Calibri"/>
            <family val="2"/>
            <scheme val="minor"/>
          </rPr>
          <t>Monto calculado automáticamente por el sistema</t>
        </r>
      </text>
    </comment>
    <comment ref="A1590" authorId="2" shapeId="0" xr:uid="{00000000-0006-0000-0100-0000C3060000}">
      <text>
        <r>
          <rPr>
            <sz val="11"/>
            <color theme="1"/>
            <rFont val="Calibri"/>
            <family val="2"/>
            <scheme val="minor"/>
          </rPr>
          <t>Introducir un texto con el nombre o referencia de la contratación</t>
        </r>
      </text>
    </comment>
    <comment ref="B1590" authorId="2" shapeId="0" xr:uid="{00000000-0006-0000-0100-0000C4060000}">
      <text>
        <r>
          <rPr>
            <sz val="11"/>
            <color theme="1"/>
            <rFont val="Calibri"/>
            <family val="2"/>
            <scheme val="minor"/>
          </rPr>
          <t>Introduzca un texto con la finalidad de la contratación</t>
        </r>
      </text>
    </comment>
    <comment ref="C1590" authorId="2" shapeId="0" xr:uid="{00000000-0006-0000-0100-0000C5060000}">
      <text>
        <r>
          <rPr>
            <sz val="11"/>
            <color theme="1"/>
            <rFont val="Calibri"/>
            <family val="2"/>
            <scheme val="minor"/>
          </rPr>
          <t>Seleccionar un valor del listado</t>
        </r>
      </text>
    </comment>
    <comment ref="D1590" authorId="2" shapeId="0" xr:uid="{00000000-0006-0000-0100-0000C6060000}">
      <text>
        <r>
          <rPr>
            <sz val="11"/>
            <color theme="1"/>
            <rFont val="Calibri"/>
            <family val="2"/>
            <scheme val="minor"/>
          </rPr>
          <t>Seleccione el tipo de procedimiento</t>
        </r>
      </text>
    </comment>
    <comment ref="E1590" authorId="2" shapeId="0" xr:uid="{00000000-0006-0000-0100-0000C7060000}">
      <text>
        <r>
          <rPr>
            <sz val="11"/>
            <color theme="1"/>
            <rFont val="Calibri"/>
            <family val="2"/>
            <scheme val="minor"/>
          </rPr>
          <t>Seleccione un valor de la lista</t>
        </r>
      </text>
    </comment>
    <comment ref="F1590" authorId="2" shapeId="0" xr:uid="{00000000-0006-0000-0100-0000C8060000}">
      <text>
        <r>
          <rPr>
            <sz val="11"/>
            <color theme="1"/>
            <rFont val="Calibri"/>
            <family val="2"/>
            <scheme val="minor"/>
          </rPr>
          <t>Introduzca el código SNIP</t>
        </r>
      </text>
    </comment>
    <comment ref="C1591" authorId="2" shapeId="0" xr:uid="{00000000-0006-0000-0100-0000C9060000}">
      <text>
        <r>
          <rPr>
            <sz val="11"/>
            <color theme="1"/>
            <rFont val="Calibri"/>
            <family val="2"/>
            <scheme val="minor"/>
          </rPr>
          <t>Introduzca la fecha de inicio del proceso, en formato dd-mm-aaaa</t>
        </r>
      </text>
    </comment>
    <comment ref="F1591" authorId="2"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2" shapeId="0" xr:uid="{00000000-0006-0000-0100-0000CB060000}">
      <text/>
    </comment>
    <comment ref="C1593" authorId="2" shapeId="0" xr:uid="{00000000-0006-0000-0100-0000CC060000}">
      <text>
        <r>
          <rPr>
            <sz val="11"/>
            <color theme="1"/>
            <rFont val="Calibri"/>
            <family val="2"/>
            <scheme val="minor"/>
          </rPr>
          <t>Introduzca la fecha prevista de adjudicación, en formato dd-mm-aaaa</t>
        </r>
      </text>
    </comment>
    <comment ref="F1593" authorId="2" shapeId="0" xr:uid="{00000000-0006-0000-0100-0000CD060000}">
      <text/>
    </comment>
    <comment ref="F1594" authorId="2" shapeId="0" xr:uid="{00000000-0006-0000-0100-0000CE060000}">
      <text/>
    </comment>
    <comment ref="A1596" authorId="2" shapeId="0" xr:uid="{00000000-0006-0000-0100-0000CF060000}">
      <text>
        <r>
          <rPr>
            <sz val="11"/>
            <color theme="1"/>
            <rFont val="Calibri"/>
            <family val="2"/>
            <scheme val="minor"/>
          </rPr>
          <t>Introduzca un codigo UNSPSC</t>
        </r>
      </text>
    </comment>
    <comment ref="B1596" authorId="2" shapeId="0" xr:uid="{00000000-0006-0000-0100-0000D0060000}">
      <text>
        <r>
          <rPr>
            <sz val="11"/>
            <color theme="1"/>
            <rFont val="Calibri"/>
            <family val="2"/>
            <scheme val="minor"/>
          </rPr>
          <t>Descripción calculada automáticamente a partir de código del artículo</t>
        </r>
      </text>
    </comment>
    <comment ref="C1596" authorId="2" shapeId="0" xr:uid="{00000000-0006-0000-0100-0000D1060000}">
      <text>
        <r>
          <rPr>
            <sz val="11"/>
            <color theme="1"/>
            <rFont val="Calibri"/>
            <family val="2"/>
            <scheme val="minor"/>
          </rPr>
          <t>Seleccione un valor de la lista</t>
        </r>
      </text>
    </comment>
    <comment ref="D1596" authorId="2" shapeId="0" xr:uid="{00000000-0006-0000-0100-0000D2060000}">
      <text>
        <r>
          <rPr>
            <sz val="11"/>
            <color theme="1"/>
            <rFont val="Calibri"/>
            <family val="2"/>
            <scheme val="minor"/>
          </rPr>
          <t>Introduzca un número con dos decimales como máximo. Debe ser igual o mayor a la "Cantidad Real Consumida"</t>
        </r>
      </text>
    </comment>
    <comment ref="E1596" authorId="2" shapeId="0" xr:uid="{00000000-0006-0000-0100-0000D3060000}">
      <text>
        <r>
          <rPr>
            <sz val="11"/>
            <color theme="1"/>
            <rFont val="Calibri"/>
            <family val="2"/>
            <scheme val="minor"/>
          </rPr>
          <t>Introduzca un número con dos decimales como máximo</t>
        </r>
      </text>
    </comment>
    <comment ref="F1596" authorId="2" shapeId="0" xr:uid="{00000000-0006-0000-0100-0000D4060000}">
      <text>
        <r>
          <rPr>
            <sz val="11"/>
            <color theme="1"/>
            <rFont val="Calibri"/>
            <family val="2"/>
            <scheme val="minor"/>
          </rPr>
          <t>Monto calculado automáticamente por el sistema</t>
        </r>
      </text>
    </comment>
    <comment ref="A1602" authorId="2" shapeId="0" xr:uid="{00000000-0006-0000-0100-0000D5060000}">
      <text>
        <r>
          <rPr>
            <sz val="11"/>
            <color theme="1"/>
            <rFont val="Calibri"/>
            <family val="2"/>
            <scheme val="minor"/>
          </rPr>
          <t>Introducir un texto con el nombre o referencia de la contratación</t>
        </r>
      </text>
    </comment>
    <comment ref="B1602" authorId="2" shapeId="0" xr:uid="{00000000-0006-0000-0100-0000D6060000}">
      <text>
        <r>
          <rPr>
            <sz val="11"/>
            <color theme="1"/>
            <rFont val="Calibri"/>
            <family val="2"/>
            <scheme val="minor"/>
          </rPr>
          <t>Introduzca un texto con la finalidad de la contratación</t>
        </r>
      </text>
    </comment>
    <comment ref="C1602" authorId="2" shapeId="0" xr:uid="{00000000-0006-0000-0100-0000D7060000}">
      <text>
        <r>
          <rPr>
            <sz val="11"/>
            <color theme="1"/>
            <rFont val="Calibri"/>
            <family val="2"/>
            <scheme val="minor"/>
          </rPr>
          <t>Seleccionar un valor del listado</t>
        </r>
      </text>
    </comment>
    <comment ref="D1602" authorId="2" shapeId="0" xr:uid="{00000000-0006-0000-0100-0000D8060000}">
      <text>
        <r>
          <rPr>
            <sz val="11"/>
            <color theme="1"/>
            <rFont val="Calibri"/>
            <family val="2"/>
            <scheme val="minor"/>
          </rPr>
          <t>Seleccione el tipo de procedimiento</t>
        </r>
      </text>
    </comment>
    <comment ref="E1602" authorId="2" shapeId="0" xr:uid="{00000000-0006-0000-0100-0000D9060000}">
      <text>
        <r>
          <rPr>
            <sz val="11"/>
            <color theme="1"/>
            <rFont val="Calibri"/>
            <family val="2"/>
            <scheme val="minor"/>
          </rPr>
          <t>Seleccione un valor de la lista</t>
        </r>
      </text>
    </comment>
    <comment ref="F1602" authorId="2" shapeId="0" xr:uid="{00000000-0006-0000-0100-0000DA060000}">
      <text>
        <r>
          <rPr>
            <sz val="11"/>
            <color theme="1"/>
            <rFont val="Calibri"/>
            <family val="2"/>
            <scheme val="minor"/>
          </rPr>
          <t>Introduzca el código SNIP</t>
        </r>
      </text>
    </comment>
    <comment ref="C1603" authorId="2" shapeId="0" xr:uid="{00000000-0006-0000-0100-0000DB060000}">
      <text>
        <r>
          <rPr>
            <sz val="11"/>
            <color theme="1"/>
            <rFont val="Calibri"/>
            <family val="2"/>
            <scheme val="minor"/>
          </rPr>
          <t>Introduzca la fecha de inicio del proceso, en formato dd-mm-aaaa</t>
        </r>
      </text>
    </comment>
    <comment ref="F1603" authorId="2"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2" shapeId="0" xr:uid="{00000000-0006-0000-0100-0000DD060000}">
      <text/>
    </comment>
    <comment ref="C1605" authorId="2" shapeId="0" xr:uid="{00000000-0006-0000-0100-0000DE060000}">
      <text>
        <r>
          <rPr>
            <sz val="11"/>
            <color theme="1"/>
            <rFont val="Calibri"/>
            <family val="2"/>
            <scheme val="minor"/>
          </rPr>
          <t>Introduzca la fecha prevista de adjudicación, en formato dd-mm-aaaa</t>
        </r>
      </text>
    </comment>
    <comment ref="F1605" authorId="2" shapeId="0" xr:uid="{00000000-0006-0000-0100-0000DF060000}">
      <text/>
    </comment>
    <comment ref="F1606" authorId="2" shapeId="0" xr:uid="{00000000-0006-0000-0100-0000E0060000}">
      <text/>
    </comment>
    <comment ref="A1608" authorId="2" shapeId="0" xr:uid="{00000000-0006-0000-0100-0000E1060000}">
      <text>
        <r>
          <rPr>
            <sz val="11"/>
            <color theme="1"/>
            <rFont val="Calibri"/>
            <family val="2"/>
            <scheme val="minor"/>
          </rPr>
          <t>Introduzca un codigo UNSPSC</t>
        </r>
      </text>
    </comment>
    <comment ref="B1608" authorId="2" shapeId="0" xr:uid="{00000000-0006-0000-0100-0000E2060000}">
      <text>
        <r>
          <rPr>
            <sz val="11"/>
            <color theme="1"/>
            <rFont val="Calibri"/>
            <family val="2"/>
            <scheme val="minor"/>
          </rPr>
          <t>Descripción calculada automáticamente a partir de código del artículo</t>
        </r>
      </text>
    </comment>
    <comment ref="C1608" authorId="2" shapeId="0" xr:uid="{00000000-0006-0000-0100-0000E3060000}">
      <text>
        <r>
          <rPr>
            <sz val="11"/>
            <color theme="1"/>
            <rFont val="Calibri"/>
            <family val="2"/>
            <scheme val="minor"/>
          </rPr>
          <t>Seleccione un valor de la lista</t>
        </r>
      </text>
    </comment>
    <comment ref="D1608" authorId="2" shapeId="0" xr:uid="{00000000-0006-0000-0100-0000E4060000}">
      <text>
        <r>
          <rPr>
            <sz val="11"/>
            <color theme="1"/>
            <rFont val="Calibri"/>
            <family val="2"/>
            <scheme val="minor"/>
          </rPr>
          <t>Introduzca un número con dos decimales como máximo. Debe ser igual o mayor a la "Cantidad Real Consumida"</t>
        </r>
      </text>
    </comment>
    <comment ref="E1608" authorId="2" shapeId="0" xr:uid="{00000000-0006-0000-0100-0000E5060000}">
      <text>
        <r>
          <rPr>
            <sz val="11"/>
            <color theme="1"/>
            <rFont val="Calibri"/>
            <family val="2"/>
            <scheme val="minor"/>
          </rPr>
          <t>Introduzca un número con dos decimales como máximo</t>
        </r>
      </text>
    </comment>
    <comment ref="F1608" authorId="2" shapeId="0" xr:uid="{00000000-0006-0000-0100-0000E6060000}">
      <text>
        <r>
          <rPr>
            <sz val="11"/>
            <color theme="1"/>
            <rFont val="Calibri"/>
            <family val="2"/>
            <scheme val="minor"/>
          </rPr>
          <t>Monto calculado automáticamente por el sistema</t>
        </r>
      </text>
    </comment>
    <comment ref="A1614" authorId="2" shapeId="0" xr:uid="{00000000-0006-0000-0100-0000E7060000}">
      <text>
        <r>
          <rPr>
            <sz val="11"/>
            <color theme="1"/>
            <rFont val="Calibri"/>
            <family val="2"/>
            <scheme val="minor"/>
          </rPr>
          <t>Introducir un texto con el nombre o referencia de la contratación</t>
        </r>
      </text>
    </comment>
    <comment ref="B1614" authorId="2" shapeId="0" xr:uid="{00000000-0006-0000-0100-0000E8060000}">
      <text>
        <r>
          <rPr>
            <sz val="11"/>
            <color theme="1"/>
            <rFont val="Calibri"/>
            <family val="2"/>
            <scheme val="minor"/>
          </rPr>
          <t>Introduzca un texto con la finalidad de la contratación</t>
        </r>
      </text>
    </comment>
    <comment ref="C1614" authorId="2" shapeId="0" xr:uid="{00000000-0006-0000-0100-0000E9060000}">
      <text>
        <r>
          <rPr>
            <sz val="11"/>
            <color theme="1"/>
            <rFont val="Calibri"/>
            <family val="2"/>
            <scheme val="minor"/>
          </rPr>
          <t>Seleccionar un valor del listado</t>
        </r>
      </text>
    </comment>
    <comment ref="D1614" authorId="2" shapeId="0" xr:uid="{00000000-0006-0000-0100-0000EA060000}">
      <text>
        <r>
          <rPr>
            <sz val="11"/>
            <color theme="1"/>
            <rFont val="Calibri"/>
            <family val="2"/>
            <scheme val="minor"/>
          </rPr>
          <t>Seleccione el tipo de procedimiento</t>
        </r>
      </text>
    </comment>
    <comment ref="E1614" authorId="2" shapeId="0" xr:uid="{00000000-0006-0000-0100-0000EB060000}">
      <text>
        <r>
          <rPr>
            <sz val="11"/>
            <color theme="1"/>
            <rFont val="Calibri"/>
            <family val="2"/>
            <scheme val="minor"/>
          </rPr>
          <t>Seleccione un valor de la lista</t>
        </r>
      </text>
    </comment>
    <comment ref="F1614" authorId="2" shapeId="0" xr:uid="{00000000-0006-0000-0100-0000EC060000}">
      <text>
        <r>
          <rPr>
            <sz val="11"/>
            <color theme="1"/>
            <rFont val="Calibri"/>
            <family val="2"/>
            <scheme val="minor"/>
          </rPr>
          <t>Introduzca el código SNIP</t>
        </r>
      </text>
    </comment>
    <comment ref="C1615" authorId="2" shapeId="0" xr:uid="{00000000-0006-0000-0100-0000ED060000}">
      <text>
        <r>
          <rPr>
            <sz val="11"/>
            <color theme="1"/>
            <rFont val="Calibri"/>
            <family val="2"/>
            <scheme val="minor"/>
          </rPr>
          <t>Introduzca la fecha de inicio del proceso, en formato dd-mm-aaaa</t>
        </r>
      </text>
    </comment>
    <comment ref="F1615" authorId="2"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2" shapeId="0" xr:uid="{00000000-0006-0000-0100-0000EF060000}">
      <text/>
    </comment>
    <comment ref="C1617" authorId="2" shapeId="0" xr:uid="{00000000-0006-0000-0100-0000F0060000}">
      <text>
        <r>
          <rPr>
            <sz val="11"/>
            <color theme="1"/>
            <rFont val="Calibri"/>
            <family val="2"/>
            <scheme val="minor"/>
          </rPr>
          <t>Introduzca la fecha prevista de adjudicación, en formato dd-mm-aaaa</t>
        </r>
      </text>
    </comment>
    <comment ref="F1617" authorId="2" shapeId="0" xr:uid="{00000000-0006-0000-0100-0000F1060000}">
      <text/>
    </comment>
    <comment ref="F1618" authorId="2" shapeId="0" xr:uid="{00000000-0006-0000-0100-0000F2060000}">
      <text/>
    </comment>
    <comment ref="A1620" authorId="2" shapeId="0" xr:uid="{00000000-0006-0000-0100-0000F3060000}">
      <text>
        <r>
          <rPr>
            <sz val="11"/>
            <color theme="1"/>
            <rFont val="Calibri"/>
            <family val="2"/>
            <scheme val="minor"/>
          </rPr>
          <t>Introduzca un codigo UNSPSC</t>
        </r>
      </text>
    </comment>
    <comment ref="B1620" authorId="2" shapeId="0" xr:uid="{00000000-0006-0000-0100-0000F4060000}">
      <text>
        <r>
          <rPr>
            <sz val="11"/>
            <color theme="1"/>
            <rFont val="Calibri"/>
            <family val="2"/>
            <scheme val="minor"/>
          </rPr>
          <t>Descripción calculada automáticamente a partir de código del artículo</t>
        </r>
      </text>
    </comment>
    <comment ref="C1620" authorId="2" shapeId="0" xr:uid="{00000000-0006-0000-0100-0000F5060000}">
      <text>
        <r>
          <rPr>
            <sz val="11"/>
            <color theme="1"/>
            <rFont val="Calibri"/>
            <family val="2"/>
            <scheme val="minor"/>
          </rPr>
          <t>Seleccione un valor de la lista</t>
        </r>
      </text>
    </comment>
    <comment ref="D1620" authorId="2" shapeId="0" xr:uid="{00000000-0006-0000-0100-0000F6060000}">
      <text>
        <r>
          <rPr>
            <sz val="11"/>
            <color theme="1"/>
            <rFont val="Calibri"/>
            <family val="2"/>
            <scheme val="minor"/>
          </rPr>
          <t>Introduzca un número con dos decimales como máximo. Debe ser igual o mayor a la "Cantidad Real Consumida"</t>
        </r>
      </text>
    </comment>
    <comment ref="E1620" authorId="2" shapeId="0" xr:uid="{00000000-0006-0000-0100-0000F7060000}">
      <text>
        <r>
          <rPr>
            <sz val="11"/>
            <color theme="1"/>
            <rFont val="Calibri"/>
            <family val="2"/>
            <scheme val="minor"/>
          </rPr>
          <t>Introduzca un número con dos decimales como máximo</t>
        </r>
      </text>
    </comment>
    <comment ref="F1620" authorId="2" shapeId="0" xr:uid="{00000000-0006-0000-0100-0000F8060000}">
      <text>
        <r>
          <rPr>
            <sz val="11"/>
            <color theme="1"/>
            <rFont val="Calibri"/>
            <family val="2"/>
            <scheme val="minor"/>
          </rPr>
          <t>Monto calculado automáticamente por el sistema</t>
        </r>
      </text>
    </comment>
    <comment ref="A1626" authorId="2" shapeId="0" xr:uid="{00000000-0006-0000-0100-0000F9060000}">
      <text>
        <r>
          <rPr>
            <sz val="11"/>
            <color theme="1"/>
            <rFont val="Calibri"/>
            <family val="2"/>
            <scheme val="minor"/>
          </rPr>
          <t>Introducir un texto con el nombre o referencia de la contratación</t>
        </r>
      </text>
    </comment>
    <comment ref="B1626" authorId="2" shapeId="0" xr:uid="{00000000-0006-0000-0100-0000FA060000}">
      <text>
        <r>
          <rPr>
            <sz val="11"/>
            <color theme="1"/>
            <rFont val="Calibri"/>
            <family val="2"/>
            <scheme val="minor"/>
          </rPr>
          <t>Introduzca un texto con la finalidad de la contratación</t>
        </r>
      </text>
    </comment>
    <comment ref="C1626" authorId="2" shapeId="0" xr:uid="{00000000-0006-0000-0100-0000FB060000}">
      <text>
        <r>
          <rPr>
            <sz val="11"/>
            <color theme="1"/>
            <rFont val="Calibri"/>
            <family val="2"/>
            <scheme val="minor"/>
          </rPr>
          <t>Seleccionar un valor del listado</t>
        </r>
      </text>
    </comment>
    <comment ref="D1626" authorId="2" shapeId="0" xr:uid="{00000000-0006-0000-0100-0000FC060000}">
      <text>
        <r>
          <rPr>
            <sz val="11"/>
            <color theme="1"/>
            <rFont val="Calibri"/>
            <family val="2"/>
            <scheme val="minor"/>
          </rPr>
          <t>Seleccione el tipo de procedimiento</t>
        </r>
      </text>
    </comment>
    <comment ref="E1626" authorId="2" shapeId="0" xr:uid="{00000000-0006-0000-0100-0000FD060000}">
      <text>
        <r>
          <rPr>
            <sz val="11"/>
            <color theme="1"/>
            <rFont val="Calibri"/>
            <family val="2"/>
            <scheme val="minor"/>
          </rPr>
          <t>Seleccione un valor de la lista</t>
        </r>
      </text>
    </comment>
    <comment ref="F1626" authorId="2" shapeId="0" xr:uid="{00000000-0006-0000-0100-0000FE060000}">
      <text>
        <r>
          <rPr>
            <sz val="11"/>
            <color theme="1"/>
            <rFont val="Calibri"/>
            <family val="2"/>
            <scheme val="minor"/>
          </rPr>
          <t>Introduzca el código SNIP</t>
        </r>
      </text>
    </comment>
    <comment ref="C1627" authorId="2" shapeId="0" xr:uid="{00000000-0006-0000-0100-0000FF060000}">
      <text>
        <r>
          <rPr>
            <sz val="11"/>
            <color theme="1"/>
            <rFont val="Calibri"/>
            <family val="2"/>
            <scheme val="minor"/>
          </rPr>
          <t>Introduzca la fecha de inicio del proceso, en formato dd-mm-aaaa</t>
        </r>
      </text>
    </comment>
    <comment ref="F1627" authorId="2"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8" authorId="2" shapeId="0" xr:uid="{00000000-0006-0000-0100-000001070000}">
      <text/>
    </comment>
    <comment ref="C1629" authorId="2" shapeId="0" xr:uid="{00000000-0006-0000-0100-000002070000}">
      <text>
        <r>
          <rPr>
            <sz val="11"/>
            <color theme="1"/>
            <rFont val="Calibri"/>
            <family val="2"/>
            <scheme val="minor"/>
          </rPr>
          <t>Introduzca la fecha prevista de adjudicación, en formato dd-mm-aaaa</t>
        </r>
      </text>
    </comment>
    <comment ref="F1629" authorId="2" shapeId="0" xr:uid="{00000000-0006-0000-0100-000003070000}">
      <text/>
    </comment>
    <comment ref="F1630" authorId="2" shapeId="0" xr:uid="{00000000-0006-0000-0100-000004070000}">
      <text/>
    </comment>
    <comment ref="A1632" authorId="2" shapeId="0" xr:uid="{00000000-0006-0000-0100-000005070000}">
      <text>
        <r>
          <rPr>
            <sz val="11"/>
            <color theme="1"/>
            <rFont val="Calibri"/>
            <family val="2"/>
            <scheme val="minor"/>
          </rPr>
          <t>Introduzca un codigo UNSPSC</t>
        </r>
      </text>
    </comment>
    <comment ref="B1632" authorId="2" shapeId="0" xr:uid="{00000000-0006-0000-0100-000006070000}">
      <text>
        <r>
          <rPr>
            <sz val="11"/>
            <color theme="1"/>
            <rFont val="Calibri"/>
            <family val="2"/>
            <scheme val="minor"/>
          </rPr>
          <t>Descripción calculada automáticamente a partir de código del artículo</t>
        </r>
      </text>
    </comment>
    <comment ref="C1632" authorId="2" shapeId="0" xr:uid="{00000000-0006-0000-0100-000007070000}">
      <text>
        <r>
          <rPr>
            <sz val="11"/>
            <color theme="1"/>
            <rFont val="Calibri"/>
            <family val="2"/>
            <scheme val="minor"/>
          </rPr>
          <t>Seleccione un valor de la lista</t>
        </r>
      </text>
    </comment>
    <comment ref="D1632" authorId="2" shapeId="0" xr:uid="{00000000-0006-0000-0100-000008070000}">
      <text>
        <r>
          <rPr>
            <sz val="11"/>
            <color theme="1"/>
            <rFont val="Calibri"/>
            <family val="2"/>
            <scheme val="minor"/>
          </rPr>
          <t>Introduzca un número con dos decimales como máximo. Debe ser igual o mayor a la "Cantidad Real Consumida"</t>
        </r>
      </text>
    </comment>
    <comment ref="E1632" authorId="2" shapeId="0" xr:uid="{00000000-0006-0000-0100-000009070000}">
      <text>
        <r>
          <rPr>
            <sz val="11"/>
            <color theme="1"/>
            <rFont val="Calibri"/>
            <family val="2"/>
            <scheme val="minor"/>
          </rPr>
          <t>Introduzca un número con dos decimales como máximo</t>
        </r>
      </text>
    </comment>
    <comment ref="F1632" authorId="2" shapeId="0" xr:uid="{00000000-0006-0000-0100-00000A070000}">
      <text>
        <r>
          <rPr>
            <sz val="11"/>
            <color theme="1"/>
            <rFont val="Calibri"/>
            <family val="2"/>
            <scheme val="minor"/>
          </rPr>
          <t>Monto calculado automáticamente por el sistema</t>
        </r>
      </text>
    </comment>
    <comment ref="A1643" authorId="2" shapeId="0" xr:uid="{00000000-0006-0000-0100-00000B070000}">
      <text>
        <r>
          <rPr>
            <sz val="11"/>
            <color theme="1"/>
            <rFont val="Calibri"/>
            <family val="2"/>
            <scheme val="minor"/>
          </rPr>
          <t>Introducir un texto con el nombre o referencia de la contratación</t>
        </r>
      </text>
    </comment>
    <comment ref="B1643" authorId="2" shapeId="0" xr:uid="{00000000-0006-0000-0100-00000C070000}">
      <text>
        <r>
          <rPr>
            <sz val="11"/>
            <color theme="1"/>
            <rFont val="Calibri"/>
            <family val="2"/>
            <scheme val="minor"/>
          </rPr>
          <t>Introduzca un texto con la finalidad de la contratación</t>
        </r>
      </text>
    </comment>
    <comment ref="C1643" authorId="2" shapeId="0" xr:uid="{00000000-0006-0000-0100-00000D070000}">
      <text>
        <r>
          <rPr>
            <sz val="11"/>
            <color theme="1"/>
            <rFont val="Calibri"/>
            <family val="2"/>
            <scheme val="minor"/>
          </rPr>
          <t>Seleccionar un valor del listado</t>
        </r>
      </text>
    </comment>
    <comment ref="D1643" authorId="2" shapeId="0" xr:uid="{00000000-0006-0000-0100-00000E070000}">
      <text>
        <r>
          <rPr>
            <sz val="11"/>
            <color theme="1"/>
            <rFont val="Calibri"/>
            <family val="2"/>
            <scheme val="minor"/>
          </rPr>
          <t>Seleccione el tipo de procedimiento</t>
        </r>
      </text>
    </comment>
    <comment ref="E1643" authorId="2" shapeId="0" xr:uid="{00000000-0006-0000-0100-00000F070000}">
      <text>
        <r>
          <rPr>
            <sz val="11"/>
            <color theme="1"/>
            <rFont val="Calibri"/>
            <family val="2"/>
            <scheme val="minor"/>
          </rPr>
          <t>Seleccione un valor de la lista</t>
        </r>
      </text>
    </comment>
    <comment ref="F1643" authorId="2" shapeId="0" xr:uid="{00000000-0006-0000-0100-000010070000}">
      <text>
        <r>
          <rPr>
            <sz val="11"/>
            <color theme="1"/>
            <rFont val="Calibri"/>
            <family val="2"/>
            <scheme val="minor"/>
          </rPr>
          <t>Introduzca el código SNIP</t>
        </r>
      </text>
    </comment>
    <comment ref="C1644" authorId="2" shapeId="0" xr:uid="{00000000-0006-0000-0100-000011070000}">
      <text>
        <r>
          <rPr>
            <sz val="11"/>
            <color theme="1"/>
            <rFont val="Calibri"/>
            <family val="2"/>
            <scheme val="minor"/>
          </rPr>
          <t>Introduzca la fecha de inicio del proceso, en formato dd-mm-aaaa</t>
        </r>
      </text>
    </comment>
    <comment ref="F1644" authorId="2"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5" authorId="2" shapeId="0" xr:uid="{00000000-0006-0000-0100-000013070000}">
      <text/>
    </comment>
    <comment ref="C1646" authorId="2" shapeId="0" xr:uid="{00000000-0006-0000-0100-000014070000}">
      <text>
        <r>
          <rPr>
            <sz val="11"/>
            <color theme="1"/>
            <rFont val="Calibri"/>
            <family val="2"/>
            <scheme val="minor"/>
          </rPr>
          <t>Introduzca la fecha prevista de adjudicación, en formato dd-mm-aaaa</t>
        </r>
      </text>
    </comment>
    <comment ref="F1646" authorId="2" shapeId="0" xr:uid="{00000000-0006-0000-0100-000015070000}">
      <text/>
    </comment>
    <comment ref="F1647" authorId="2" shapeId="0" xr:uid="{00000000-0006-0000-0100-000016070000}">
      <text/>
    </comment>
    <comment ref="A1649" authorId="2" shapeId="0" xr:uid="{00000000-0006-0000-0100-000017070000}">
      <text>
        <r>
          <rPr>
            <sz val="11"/>
            <color theme="1"/>
            <rFont val="Calibri"/>
            <family val="2"/>
            <scheme val="minor"/>
          </rPr>
          <t>Introduzca un codigo UNSPSC</t>
        </r>
      </text>
    </comment>
    <comment ref="B1649" authorId="2" shapeId="0" xr:uid="{00000000-0006-0000-0100-000018070000}">
      <text>
        <r>
          <rPr>
            <sz val="11"/>
            <color theme="1"/>
            <rFont val="Calibri"/>
            <family val="2"/>
            <scheme val="minor"/>
          </rPr>
          <t>Descripción calculada automáticamente a partir de código del artículo</t>
        </r>
      </text>
    </comment>
    <comment ref="C1649" authorId="2" shapeId="0" xr:uid="{00000000-0006-0000-0100-000019070000}">
      <text>
        <r>
          <rPr>
            <sz val="11"/>
            <color theme="1"/>
            <rFont val="Calibri"/>
            <family val="2"/>
            <scheme val="minor"/>
          </rPr>
          <t>Seleccione un valor de la lista</t>
        </r>
      </text>
    </comment>
    <comment ref="D1649" authorId="2" shapeId="0" xr:uid="{00000000-0006-0000-0100-00001A070000}">
      <text>
        <r>
          <rPr>
            <sz val="11"/>
            <color theme="1"/>
            <rFont val="Calibri"/>
            <family val="2"/>
            <scheme val="minor"/>
          </rPr>
          <t>Introduzca un número con dos decimales como máximo. Debe ser igual o mayor a la "Cantidad Real Consumida"</t>
        </r>
      </text>
    </comment>
    <comment ref="E1649" authorId="2" shapeId="0" xr:uid="{00000000-0006-0000-0100-00001B070000}">
      <text>
        <r>
          <rPr>
            <sz val="11"/>
            <color theme="1"/>
            <rFont val="Calibri"/>
            <family val="2"/>
            <scheme val="minor"/>
          </rPr>
          <t>Introduzca un número con dos decimales como máximo</t>
        </r>
      </text>
    </comment>
    <comment ref="F1649" authorId="2" shapeId="0" xr:uid="{00000000-0006-0000-0100-00001C070000}">
      <text>
        <r>
          <rPr>
            <sz val="11"/>
            <color theme="1"/>
            <rFont val="Calibri"/>
            <family val="2"/>
            <scheme val="minor"/>
          </rPr>
          <t>Monto calculado automáticamente por el sistema</t>
        </r>
      </text>
    </comment>
    <comment ref="A1660" authorId="2" shapeId="0" xr:uid="{00000000-0006-0000-0100-00001D070000}">
      <text>
        <r>
          <rPr>
            <sz val="11"/>
            <color theme="1"/>
            <rFont val="Calibri"/>
            <family val="2"/>
            <scheme val="minor"/>
          </rPr>
          <t>Introducir un texto con el nombre o referencia de la contratación</t>
        </r>
      </text>
    </comment>
    <comment ref="B1660" authorId="2" shapeId="0" xr:uid="{00000000-0006-0000-0100-00001E070000}">
      <text>
        <r>
          <rPr>
            <sz val="11"/>
            <color theme="1"/>
            <rFont val="Calibri"/>
            <family val="2"/>
            <scheme val="minor"/>
          </rPr>
          <t>Introduzca un texto con la finalidad de la contratación</t>
        </r>
      </text>
    </comment>
    <comment ref="C1660" authorId="2" shapeId="0" xr:uid="{00000000-0006-0000-0100-00001F070000}">
      <text>
        <r>
          <rPr>
            <sz val="11"/>
            <color theme="1"/>
            <rFont val="Calibri"/>
            <family val="2"/>
            <scheme val="minor"/>
          </rPr>
          <t>Seleccionar un valor del listado</t>
        </r>
      </text>
    </comment>
    <comment ref="D1660" authorId="2" shapeId="0" xr:uid="{00000000-0006-0000-0100-000020070000}">
      <text>
        <r>
          <rPr>
            <sz val="11"/>
            <color theme="1"/>
            <rFont val="Calibri"/>
            <family val="2"/>
            <scheme val="minor"/>
          </rPr>
          <t>Seleccione el tipo de procedimiento</t>
        </r>
      </text>
    </comment>
    <comment ref="E1660" authorId="2" shapeId="0" xr:uid="{00000000-0006-0000-0100-000021070000}">
      <text>
        <r>
          <rPr>
            <sz val="11"/>
            <color theme="1"/>
            <rFont val="Calibri"/>
            <family val="2"/>
            <scheme val="minor"/>
          </rPr>
          <t>Seleccione un valor de la lista</t>
        </r>
      </text>
    </comment>
    <comment ref="F1660" authorId="2" shapeId="0" xr:uid="{00000000-0006-0000-0100-000022070000}">
      <text>
        <r>
          <rPr>
            <sz val="11"/>
            <color theme="1"/>
            <rFont val="Calibri"/>
            <family val="2"/>
            <scheme val="minor"/>
          </rPr>
          <t>Introduzca el código SNIP</t>
        </r>
      </text>
    </comment>
    <comment ref="C1661" authorId="2" shapeId="0" xr:uid="{00000000-0006-0000-0100-000023070000}">
      <text>
        <r>
          <rPr>
            <sz val="11"/>
            <color theme="1"/>
            <rFont val="Calibri"/>
            <family val="2"/>
            <scheme val="minor"/>
          </rPr>
          <t>Introduzca la fecha de inicio del proceso, en formato dd-mm-aaaa</t>
        </r>
      </text>
    </comment>
    <comment ref="F1661" authorId="2"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2" shapeId="0" xr:uid="{00000000-0006-0000-0100-000025070000}">
      <text/>
    </comment>
    <comment ref="C1663" authorId="2" shapeId="0" xr:uid="{00000000-0006-0000-0100-000026070000}">
      <text>
        <r>
          <rPr>
            <sz val="11"/>
            <color theme="1"/>
            <rFont val="Calibri"/>
            <family val="2"/>
            <scheme val="minor"/>
          </rPr>
          <t>Introduzca la fecha prevista de adjudicación, en formato dd-mm-aaaa</t>
        </r>
      </text>
    </comment>
    <comment ref="F1663" authorId="2" shapeId="0" xr:uid="{00000000-0006-0000-0100-000027070000}">
      <text/>
    </comment>
    <comment ref="F1664" authorId="2" shapeId="0" xr:uid="{00000000-0006-0000-0100-000028070000}">
      <text/>
    </comment>
    <comment ref="A1666" authorId="2" shapeId="0" xr:uid="{00000000-0006-0000-0100-000029070000}">
      <text>
        <r>
          <rPr>
            <sz val="11"/>
            <color theme="1"/>
            <rFont val="Calibri"/>
            <family val="2"/>
            <scheme val="minor"/>
          </rPr>
          <t>Introduzca un codigo UNSPSC</t>
        </r>
      </text>
    </comment>
    <comment ref="B1666" authorId="2" shapeId="0" xr:uid="{00000000-0006-0000-0100-00002A070000}">
      <text>
        <r>
          <rPr>
            <sz val="11"/>
            <color theme="1"/>
            <rFont val="Calibri"/>
            <family val="2"/>
            <scheme val="minor"/>
          </rPr>
          <t>Descripción calculada automáticamente a partir de código del artículo</t>
        </r>
      </text>
    </comment>
    <comment ref="C1666" authorId="2" shapeId="0" xr:uid="{00000000-0006-0000-0100-00002B070000}">
      <text>
        <r>
          <rPr>
            <sz val="11"/>
            <color theme="1"/>
            <rFont val="Calibri"/>
            <family val="2"/>
            <scheme val="minor"/>
          </rPr>
          <t>Seleccione un valor de la lista</t>
        </r>
      </text>
    </comment>
    <comment ref="D1666" authorId="2" shapeId="0" xr:uid="{00000000-0006-0000-0100-00002C070000}">
      <text>
        <r>
          <rPr>
            <sz val="11"/>
            <color theme="1"/>
            <rFont val="Calibri"/>
            <family val="2"/>
            <scheme val="minor"/>
          </rPr>
          <t>Introduzca un número con dos decimales como máximo. Debe ser igual o mayor a la "Cantidad Real Consumida"</t>
        </r>
      </text>
    </comment>
    <comment ref="E1666" authorId="2" shapeId="0" xr:uid="{00000000-0006-0000-0100-00002D070000}">
      <text>
        <r>
          <rPr>
            <sz val="11"/>
            <color theme="1"/>
            <rFont val="Calibri"/>
            <family val="2"/>
            <scheme val="minor"/>
          </rPr>
          <t>Introduzca un número con dos decimales como máximo</t>
        </r>
      </text>
    </comment>
    <comment ref="F1666" authorId="2" shapeId="0" xr:uid="{00000000-0006-0000-0100-00002E070000}">
      <text>
        <r>
          <rPr>
            <sz val="11"/>
            <color theme="1"/>
            <rFont val="Calibri"/>
            <family val="2"/>
            <scheme val="minor"/>
          </rPr>
          <t>Monto calculado automáticamente por el sistema</t>
        </r>
      </text>
    </comment>
    <comment ref="A1677" authorId="2" shapeId="0" xr:uid="{00000000-0006-0000-0100-00002F070000}">
      <text>
        <r>
          <rPr>
            <sz val="11"/>
            <color theme="1"/>
            <rFont val="Calibri"/>
            <family val="2"/>
            <scheme val="minor"/>
          </rPr>
          <t>Introducir un texto con el nombre o referencia de la contratación</t>
        </r>
      </text>
    </comment>
    <comment ref="B1677" authorId="2" shapeId="0" xr:uid="{00000000-0006-0000-0100-000030070000}">
      <text>
        <r>
          <rPr>
            <sz val="11"/>
            <color theme="1"/>
            <rFont val="Calibri"/>
            <family val="2"/>
            <scheme val="minor"/>
          </rPr>
          <t>Introduzca un texto con la finalidad de la contratación</t>
        </r>
      </text>
    </comment>
    <comment ref="C1677" authorId="2" shapeId="0" xr:uid="{00000000-0006-0000-0100-000031070000}">
      <text>
        <r>
          <rPr>
            <sz val="11"/>
            <color theme="1"/>
            <rFont val="Calibri"/>
            <family val="2"/>
            <scheme val="minor"/>
          </rPr>
          <t>Seleccionar un valor del listado</t>
        </r>
      </text>
    </comment>
    <comment ref="D1677" authorId="2" shapeId="0" xr:uid="{00000000-0006-0000-0100-000032070000}">
      <text>
        <r>
          <rPr>
            <sz val="11"/>
            <color theme="1"/>
            <rFont val="Calibri"/>
            <family val="2"/>
            <scheme val="minor"/>
          </rPr>
          <t>Seleccione el tipo de procedimiento</t>
        </r>
      </text>
    </comment>
    <comment ref="E1677" authorId="2" shapeId="0" xr:uid="{00000000-0006-0000-0100-000033070000}">
      <text>
        <r>
          <rPr>
            <sz val="11"/>
            <color theme="1"/>
            <rFont val="Calibri"/>
            <family val="2"/>
            <scheme val="minor"/>
          </rPr>
          <t>Seleccione un valor de la lista</t>
        </r>
      </text>
    </comment>
    <comment ref="F1677" authorId="2" shapeId="0" xr:uid="{00000000-0006-0000-0100-000034070000}">
      <text>
        <r>
          <rPr>
            <sz val="11"/>
            <color theme="1"/>
            <rFont val="Calibri"/>
            <family val="2"/>
            <scheme val="minor"/>
          </rPr>
          <t>Introduzca el código SNIP</t>
        </r>
      </text>
    </comment>
    <comment ref="C1678" authorId="2" shapeId="0" xr:uid="{00000000-0006-0000-0100-000035070000}">
      <text>
        <r>
          <rPr>
            <sz val="11"/>
            <color theme="1"/>
            <rFont val="Calibri"/>
            <family val="2"/>
            <scheme val="minor"/>
          </rPr>
          <t>Introduzca la fecha de inicio del proceso, en formato dd-mm-aaaa</t>
        </r>
      </text>
    </comment>
    <comment ref="F1678" authorId="2"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2" shapeId="0" xr:uid="{00000000-0006-0000-0100-000037070000}">
      <text/>
    </comment>
    <comment ref="C1680" authorId="2" shapeId="0" xr:uid="{00000000-0006-0000-0100-000038070000}">
      <text>
        <r>
          <rPr>
            <sz val="11"/>
            <color theme="1"/>
            <rFont val="Calibri"/>
            <family val="2"/>
            <scheme val="minor"/>
          </rPr>
          <t>Introduzca la fecha prevista de adjudicación, en formato dd-mm-aaaa</t>
        </r>
      </text>
    </comment>
    <comment ref="F1680" authorId="2" shapeId="0" xr:uid="{00000000-0006-0000-0100-000039070000}">
      <text/>
    </comment>
    <comment ref="F1681" authorId="2" shapeId="0" xr:uid="{00000000-0006-0000-0100-00003A070000}">
      <text/>
    </comment>
    <comment ref="A1683" authorId="2" shapeId="0" xr:uid="{00000000-0006-0000-0100-00003B070000}">
      <text>
        <r>
          <rPr>
            <sz val="11"/>
            <color theme="1"/>
            <rFont val="Calibri"/>
            <family val="2"/>
            <scheme val="minor"/>
          </rPr>
          <t>Introduzca un codigo UNSPSC</t>
        </r>
      </text>
    </comment>
    <comment ref="B1683" authorId="2" shapeId="0" xr:uid="{00000000-0006-0000-0100-00003C070000}">
      <text>
        <r>
          <rPr>
            <sz val="11"/>
            <color theme="1"/>
            <rFont val="Calibri"/>
            <family val="2"/>
            <scheme val="minor"/>
          </rPr>
          <t>Descripción calculada automáticamente a partir de código del artículo</t>
        </r>
      </text>
    </comment>
    <comment ref="C1683" authorId="2" shapeId="0" xr:uid="{00000000-0006-0000-0100-00003D070000}">
      <text>
        <r>
          <rPr>
            <sz val="11"/>
            <color theme="1"/>
            <rFont val="Calibri"/>
            <family val="2"/>
            <scheme val="minor"/>
          </rPr>
          <t>Seleccione un valor de la lista</t>
        </r>
      </text>
    </comment>
    <comment ref="D1683" authorId="2" shapeId="0" xr:uid="{00000000-0006-0000-0100-00003E070000}">
      <text>
        <r>
          <rPr>
            <sz val="11"/>
            <color theme="1"/>
            <rFont val="Calibri"/>
            <family val="2"/>
            <scheme val="minor"/>
          </rPr>
          <t>Introduzca un número con dos decimales como máximo. Debe ser igual o mayor a la "Cantidad Real Consumida"</t>
        </r>
      </text>
    </comment>
    <comment ref="E1683" authorId="2" shapeId="0" xr:uid="{00000000-0006-0000-0100-00003F070000}">
      <text>
        <r>
          <rPr>
            <sz val="11"/>
            <color theme="1"/>
            <rFont val="Calibri"/>
            <family val="2"/>
            <scheme val="minor"/>
          </rPr>
          <t>Introduzca un número con dos decimales como máximo</t>
        </r>
      </text>
    </comment>
    <comment ref="F1683" authorId="2" shapeId="0" xr:uid="{00000000-0006-0000-0100-000040070000}">
      <text>
        <r>
          <rPr>
            <sz val="11"/>
            <color theme="1"/>
            <rFont val="Calibri"/>
            <family val="2"/>
            <scheme val="minor"/>
          </rPr>
          <t>Monto calculado automáticamente por el sistema</t>
        </r>
      </text>
    </comment>
    <comment ref="A1694" authorId="2" shapeId="0" xr:uid="{00000000-0006-0000-0100-000041070000}">
      <text>
        <r>
          <rPr>
            <sz val="11"/>
            <color theme="1"/>
            <rFont val="Calibri"/>
            <family val="2"/>
            <scheme val="minor"/>
          </rPr>
          <t>Introducir un texto con el nombre o referencia de la contratación</t>
        </r>
      </text>
    </comment>
    <comment ref="B1694" authorId="2" shapeId="0" xr:uid="{00000000-0006-0000-0100-000042070000}">
      <text>
        <r>
          <rPr>
            <sz val="11"/>
            <color theme="1"/>
            <rFont val="Calibri"/>
            <family val="2"/>
            <scheme val="minor"/>
          </rPr>
          <t>Introduzca un texto con la finalidad de la contratación</t>
        </r>
      </text>
    </comment>
    <comment ref="C1694" authorId="2" shapeId="0" xr:uid="{00000000-0006-0000-0100-000043070000}">
      <text>
        <r>
          <rPr>
            <sz val="11"/>
            <color theme="1"/>
            <rFont val="Calibri"/>
            <family val="2"/>
            <scheme val="minor"/>
          </rPr>
          <t>Seleccionar un valor del listado</t>
        </r>
      </text>
    </comment>
    <comment ref="D1694" authorId="2" shapeId="0" xr:uid="{00000000-0006-0000-0100-000044070000}">
      <text>
        <r>
          <rPr>
            <sz val="11"/>
            <color theme="1"/>
            <rFont val="Calibri"/>
            <family val="2"/>
            <scheme val="minor"/>
          </rPr>
          <t>Seleccione el tipo de procedimiento</t>
        </r>
      </text>
    </comment>
    <comment ref="E1694" authorId="2" shapeId="0" xr:uid="{00000000-0006-0000-0100-000045070000}">
      <text>
        <r>
          <rPr>
            <sz val="11"/>
            <color theme="1"/>
            <rFont val="Calibri"/>
            <family val="2"/>
            <scheme val="minor"/>
          </rPr>
          <t>Seleccione un valor de la lista</t>
        </r>
      </text>
    </comment>
    <comment ref="F1694" authorId="2" shapeId="0" xr:uid="{00000000-0006-0000-0100-000046070000}">
      <text>
        <r>
          <rPr>
            <sz val="11"/>
            <color theme="1"/>
            <rFont val="Calibri"/>
            <family val="2"/>
            <scheme val="minor"/>
          </rPr>
          <t>Introduzca el código SNIP</t>
        </r>
      </text>
    </comment>
    <comment ref="C1695" authorId="2" shapeId="0" xr:uid="{00000000-0006-0000-0100-000047070000}">
      <text>
        <r>
          <rPr>
            <sz val="11"/>
            <color theme="1"/>
            <rFont val="Calibri"/>
            <family val="2"/>
            <scheme val="minor"/>
          </rPr>
          <t>Introduzca la fecha de inicio del proceso, en formato dd-mm-aaaa</t>
        </r>
      </text>
    </comment>
    <comment ref="F1695" authorId="2"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2" shapeId="0" xr:uid="{00000000-0006-0000-0100-000049070000}">
      <text/>
    </comment>
    <comment ref="C1697" authorId="2" shapeId="0" xr:uid="{00000000-0006-0000-0100-00004A070000}">
      <text>
        <r>
          <rPr>
            <sz val="11"/>
            <color theme="1"/>
            <rFont val="Calibri"/>
            <family val="2"/>
            <scheme val="minor"/>
          </rPr>
          <t>Introduzca la fecha prevista de adjudicación, en formato dd-mm-aaaa</t>
        </r>
      </text>
    </comment>
    <comment ref="F1697" authorId="2" shapeId="0" xr:uid="{00000000-0006-0000-0100-00004B070000}">
      <text/>
    </comment>
    <comment ref="F1698" authorId="2" shapeId="0" xr:uid="{00000000-0006-0000-0100-00004C070000}">
      <text/>
    </comment>
    <comment ref="A1700" authorId="2" shapeId="0" xr:uid="{00000000-0006-0000-0100-00004D070000}">
      <text>
        <r>
          <rPr>
            <sz val="11"/>
            <color theme="1"/>
            <rFont val="Calibri"/>
            <family val="2"/>
            <scheme val="minor"/>
          </rPr>
          <t>Introduzca un codigo UNSPSC</t>
        </r>
      </text>
    </comment>
    <comment ref="B1700" authorId="2" shapeId="0" xr:uid="{00000000-0006-0000-0100-00004E070000}">
      <text>
        <r>
          <rPr>
            <sz val="11"/>
            <color theme="1"/>
            <rFont val="Calibri"/>
            <family val="2"/>
            <scheme val="minor"/>
          </rPr>
          <t>Descripción calculada automáticamente a partir de código del artículo</t>
        </r>
      </text>
    </comment>
    <comment ref="C1700" authorId="2" shapeId="0" xr:uid="{00000000-0006-0000-0100-00004F070000}">
      <text>
        <r>
          <rPr>
            <sz val="11"/>
            <color theme="1"/>
            <rFont val="Calibri"/>
            <family val="2"/>
            <scheme val="minor"/>
          </rPr>
          <t>Seleccione un valor de la lista</t>
        </r>
      </text>
    </comment>
    <comment ref="D1700" authorId="2" shapeId="0" xr:uid="{00000000-0006-0000-0100-000050070000}">
      <text>
        <r>
          <rPr>
            <sz val="11"/>
            <color theme="1"/>
            <rFont val="Calibri"/>
            <family val="2"/>
            <scheme val="minor"/>
          </rPr>
          <t>Introduzca un número con dos decimales como máximo. Debe ser igual o mayor a la "Cantidad Real Consumida"</t>
        </r>
      </text>
    </comment>
    <comment ref="E1700" authorId="2" shapeId="0" xr:uid="{00000000-0006-0000-0100-000051070000}">
      <text>
        <r>
          <rPr>
            <sz val="11"/>
            <color theme="1"/>
            <rFont val="Calibri"/>
            <family val="2"/>
            <scheme val="minor"/>
          </rPr>
          <t>Introduzca un número con dos decimales como máximo</t>
        </r>
      </text>
    </comment>
    <comment ref="F1700" authorId="2" shapeId="0" xr:uid="{00000000-0006-0000-0100-000052070000}">
      <text>
        <r>
          <rPr>
            <sz val="11"/>
            <color theme="1"/>
            <rFont val="Calibri"/>
            <family val="2"/>
            <scheme val="minor"/>
          </rPr>
          <t>Monto calculado automáticamente por el sistema</t>
        </r>
      </text>
    </comment>
    <comment ref="A1706" authorId="2" shapeId="0" xr:uid="{00000000-0006-0000-0100-000053070000}">
      <text>
        <r>
          <rPr>
            <sz val="11"/>
            <color theme="1"/>
            <rFont val="Calibri"/>
            <family val="2"/>
            <scheme val="minor"/>
          </rPr>
          <t>Introducir un texto con el nombre o referencia de la contratación</t>
        </r>
      </text>
    </comment>
    <comment ref="B1706" authorId="2" shapeId="0" xr:uid="{00000000-0006-0000-0100-000054070000}">
      <text>
        <r>
          <rPr>
            <sz val="11"/>
            <color theme="1"/>
            <rFont val="Calibri"/>
            <family val="2"/>
            <scheme val="minor"/>
          </rPr>
          <t>Introduzca un texto con la finalidad de la contratación</t>
        </r>
      </text>
    </comment>
    <comment ref="C1706" authorId="2" shapeId="0" xr:uid="{00000000-0006-0000-0100-000055070000}">
      <text>
        <r>
          <rPr>
            <sz val="11"/>
            <color theme="1"/>
            <rFont val="Calibri"/>
            <family val="2"/>
            <scheme val="minor"/>
          </rPr>
          <t>Seleccionar un valor del listado</t>
        </r>
      </text>
    </comment>
    <comment ref="D1706" authorId="2" shapeId="0" xr:uid="{00000000-0006-0000-0100-000056070000}">
      <text>
        <r>
          <rPr>
            <sz val="11"/>
            <color theme="1"/>
            <rFont val="Calibri"/>
            <family val="2"/>
            <scheme val="minor"/>
          </rPr>
          <t>Seleccione el tipo de procedimiento</t>
        </r>
      </text>
    </comment>
    <comment ref="E1706" authorId="2" shapeId="0" xr:uid="{00000000-0006-0000-0100-000057070000}">
      <text>
        <r>
          <rPr>
            <sz val="11"/>
            <color theme="1"/>
            <rFont val="Calibri"/>
            <family val="2"/>
            <scheme val="minor"/>
          </rPr>
          <t>Seleccione un valor de la lista</t>
        </r>
      </text>
    </comment>
    <comment ref="F1706" authorId="2" shapeId="0" xr:uid="{00000000-0006-0000-0100-000058070000}">
      <text>
        <r>
          <rPr>
            <sz val="11"/>
            <color theme="1"/>
            <rFont val="Calibri"/>
            <family val="2"/>
            <scheme val="minor"/>
          </rPr>
          <t>Introduzca el código SNIP</t>
        </r>
      </text>
    </comment>
    <comment ref="C1707" authorId="2" shapeId="0" xr:uid="{00000000-0006-0000-0100-000059070000}">
      <text>
        <r>
          <rPr>
            <sz val="11"/>
            <color theme="1"/>
            <rFont val="Calibri"/>
            <family val="2"/>
            <scheme val="minor"/>
          </rPr>
          <t>Introduzca la fecha de inicio del proceso, en formato dd-mm-aaaa</t>
        </r>
      </text>
    </comment>
    <comment ref="F1707" authorId="2"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8" authorId="2" shapeId="0" xr:uid="{00000000-0006-0000-0100-00005B070000}">
      <text/>
    </comment>
    <comment ref="C1709" authorId="2" shapeId="0" xr:uid="{00000000-0006-0000-0100-00005C070000}">
      <text>
        <r>
          <rPr>
            <sz val="11"/>
            <color theme="1"/>
            <rFont val="Calibri"/>
            <family val="2"/>
            <scheme val="minor"/>
          </rPr>
          <t>Introduzca la fecha prevista de adjudicación, en formato dd-mm-aaaa</t>
        </r>
      </text>
    </comment>
    <comment ref="F1709" authorId="2" shapeId="0" xr:uid="{00000000-0006-0000-0100-00005D070000}">
      <text/>
    </comment>
    <comment ref="F1710" authorId="2" shapeId="0" xr:uid="{00000000-0006-0000-0100-00005E070000}">
      <text/>
    </comment>
    <comment ref="A1712" authorId="2" shapeId="0" xr:uid="{00000000-0006-0000-0100-00005F070000}">
      <text>
        <r>
          <rPr>
            <sz val="11"/>
            <color theme="1"/>
            <rFont val="Calibri"/>
            <family val="2"/>
            <scheme val="minor"/>
          </rPr>
          <t>Introduzca un codigo UNSPSC</t>
        </r>
      </text>
    </comment>
    <comment ref="B1712" authorId="2" shapeId="0" xr:uid="{00000000-0006-0000-0100-000060070000}">
      <text>
        <r>
          <rPr>
            <sz val="11"/>
            <color theme="1"/>
            <rFont val="Calibri"/>
            <family val="2"/>
            <scheme val="minor"/>
          </rPr>
          <t>Descripción calculada automáticamente a partir de código del artículo</t>
        </r>
      </text>
    </comment>
    <comment ref="C1712" authorId="2" shapeId="0" xr:uid="{00000000-0006-0000-0100-000061070000}">
      <text>
        <r>
          <rPr>
            <sz val="11"/>
            <color theme="1"/>
            <rFont val="Calibri"/>
            <family val="2"/>
            <scheme val="minor"/>
          </rPr>
          <t>Seleccione un valor de la lista</t>
        </r>
      </text>
    </comment>
    <comment ref="D1712" authorId="2" shapeId="0" xr:uid="{00000000-0006-0000-0100-000062070000}">
      <text>
        <r>
          <rPr>
            <sz val="11"/>
            <color theme="1"/>
            <rFont val="Calibri"/>
            <family val="2"/>
            <scheme val="minor"/>
          </rPr>
          <t>Introduzca un número con dos decimales como máximo. Debe ser igual o mayor a la "Cantidad Real Consumida"</t>
        </r>
      </text>
    </comment>
    <comment ref="E1712" authorId="2" shapeId="0" xr:uid="{00000000-0006-0000-0100-000063070000}">
      <text>
        <r>
          <rPr>
            <sz val="11"/>
            <color theme="1"/>
            <rFont val="Calibri"/>
            <family val="2"/>
            <scheme val="minor"/>
          </rPr>
          <t>Introduzca un número con dos decimales como máximo</t>
        </r>
      </text>
    </comment>
    <comment ref="F1712" authorId="2" shapeId="0" xr:uid="{00000000-0006-0000-0100-000064070000}">
      <text>
        <r>
          <rPr>
            <sz val="11"/>
            <color theme="1"/>
            <rFont val="Calibri"/>
            <family val="2"/>
            <scheme val="minor"/>
          </rPr>
          <t>Monto calculado automáticamente por el sistema</t>
        </r>
      </text>
    </comment>
    <comment ref="A1718" authorId="2" shapeId="0" xr:uid="{00000000-0006-0000-0100-000065070000}">
      <text>
        <r>
          <rPr>
            <sz val="11"/>
            <color theme="1"/>
            <rFont val="Calibri"/>
            <family val="2"/>
            <scheme val="minor"/>
          </rPr>
          <t>Introducir un texto con el nombre o referencia de la contratación</t>
        </r>
      </text>
    </comment>
    <comment ref="B1718" authorId="2" shapeId="0" xr:uid="{00000000-0006-0000-0100-000066070000}">
      <text>
        <r>
          <rPr>
            <sz val="11"/>
            <color theme="1"/>
            <rFont val="Calibri"/>
            <family val="2"/>
            <scheme val="minor"/>
          </rPr>
          <t>Introduzca un texto con la finalidad de la contratación</t>
        </r>
      </text>
    </comment>
    <comment ref="C1718" authorId="2" shapeId="0" xr:uid="{00000000-0006-0000-0100-000067070000}">
      <text>
        <r>
          <rPr>
            <sz val="11"/>
            <color theme="1"/>
            <rFont val="Calibri"/>
            <family val="2"/>
            <scheme val="minor"/>
          </rPr>
          <t>Seleccionar un valor del listado</t>
        </r>
      </text>
    </comment>
    <comment ref="D1718" authorId="2" shapeId="0" xr:uid="{00000000-0006-0000-0100-000068070000}">
      <text>
        <r>
          <rPr>
            <sz val="11"/>
            <color theme="1"/>
            <rFont val="Calibri"/>
            <family val="2"/>
            <scheme val="minor"/>
          </rPr>
          <t>Seleccione el tipo de procedimiento</t>
        </r>
      </text>
    </comment>
    <comment ref="E1718" authorId="2" shapeId="0" xr:uid="{00000000-0006-0000-0100-000069070000}">
      <text>
        <r>
          <rPr>
            <sz val="11"/>
            <color theme="1"/>
            <rFont val="Calibri"/>
            <family val="2"/>
            <scheme val="minor"/>
          </rPr>
          <t>Seleccione un valor de la lista</t>
        </r>
      </text>
    </comment>
    <comment ref="F1718" authorId="2" shapeId="0" xr:uid="{00000000-0006-0000-0100-00006A070000}">
      <text>
        <r>
          <rPr>
            <sz val="11"/>
            <color theme="1"/>
            <rFont val="Calibri"/>
            <family val="2"/>
            <scheme val="minor"/>
          </rPr>
          <t>Introduzca el código SNIP</t>
        </r>
      </text>
    </comment>
    <comment ref="C1719" authorId="2" shapeId="0" xr:uid="{00000000-0006-0000-0100-00006B070000}">
      <text>
        <r>
          <rPr>
            <sz val="11"/>
            <color theme="1"/>
            <rFont val="Calibri"/>
            <family val="2"/>
            <scheme val="minor"/>
          </rPr>
          <t>Introduzca la fecha de inicio del proceso, en formato dd-mm-aaaa</t>
        </r>
      </text>
    </comment>
    <comment ref="F1719" authorId="2"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xr:uid="{00000000-0006-0000-0100-00006D070000}">
      <text/>
    </comment>
    <comment ref="C1721" authorId="2" shapeId="0" xr:uid="{00000000-0006-0000-0100-00006E070000}">
      <text>
        <r>
          <rPr>
            <sz val="11"/>
            <color theme="1"/>
            <rFont val="Calibri"/>
            <family val="2"/>
            <scheme val="minor"/>
          </rPr>
          <t>Introduzca la fecha prevista de adjudicación, en formato dd-mm-aaaa</t>
        </r>
      </text>
    </comment>
    <comment ref="F1721" authorId="2" shapeId="0" xr:uid="{00000000-0006-0000-0100-00006F070000}">
      <text/>
    </comment>
    <comment ref="F1722" authorId="2" shapeId="0" xr:uid="{00000000-0006-0000-0100-000070070000}">
      <text/>
    </comment>
    <comment ref="A1724" authorId="2" shapeId="0" xr:uid="{00000000-0006-0000-0100-000071070000}">
      <text>
        <r>
          <rPr>
            <sz val="11"/>
            <color theme="1"/>
            <rFont val="Calibri"/>
            <family val="2"/>
            <scheme val="minor"/>
          </rPr>
          <t>Introduzca un codigo UNSPSC</t>
        </r>
      </text>
    </comment>
    <comment ref="B1724" authorId="2" shapeId="0" xr:uid="{00000000-0006-0000-0100-000072070000}">
      <text>
        <r>
          <rPr>
            <sz val="11"/>
            <color theme="1"/>
            <rFont val="Calibri"/>
            <family val="2"/>
            <scheme val="minor"/>
          </rPr>
          <t>Descripción calculada automáticamente a partir de código del artículo</t>
        </r>
      </text>
    </comment>
    <comment ref="C1724" authorId="2" shapeId="0" xr:uid="{00000000-0006-0000-0100-000073070000}">
      <text>
        <r>
          <rPr>
            <sz val="11"/>
            <color theme="1"/>
            <rFont val="Calibri"/>
            <family val="2"/>
            <scheme val="minor"/>
          </rPr>
          <t>Seleccione un valor de la lista</t>
        </r>
      </text>
    </comment>
    <comment ref="D1724" authorId="2" shapeId="0" xr:uid="{00000000-0006-0000-0100-000074070000}">
      <text>
        <r>
          <rPr>
            <sz val="11"/>
            <color theme="1"/>
            <rFont val="Calibri"/>
            <family val="2"/>
            <scheme val="minor"/>
          </rPr>
          <t>Introduzca un número con dos decimales como máximo. Debe ser igual o mayor a la "Cantidad Real Consumida"</t>
        </r>
      </text>
    </comment>
    <comment ref="E1724" authorId="2" shapeId="0" xr:uid="{00000000-0006-0000-0100-000075070000}">
      <text>
        <r>
          <rPr>
            <sz val="11"/>
            <color theme="1"/>
            <rFont val="Calibri"/>
            <family val="2"/>
            <scheme val="minor"/>
          </rPr>
          <t>Introduzca un número con dos decimales como máximo</t>
        </r>
      </text>
    </comment>
    <comment ref="F1724" authorId="2" shapeId="0" xr:uid="{00000000-0006-0000-0100-000076070000}">
      <text>
        <r>
          <rPr>
            <sz val="11"/>
            <color theme="1"/>
            <rFont val="Calibri"/>
            <family val="2"/>
            <scheme val="minor"/>
          </rPr>
          <t>Monto calculado automáticamente por el sistema</t>
        </r>
      </text>
    </comment>
    <comment ref="A1730" authorId="2" shapeId="0" xr:uid="{00000000-0006-0000-0100-000077070000}">
      <text>
        <r>
          <rPr>
            <sz val="11"/>
            <color theme="1"/>
            <rFont val="Calibri"/>
            <family val="2"/>
            <scheme val="minor"/>
          </rPr>
          <t>Introducir un texto con el nombre o referencia de la contratación</t>
        </r>
      </text>
    </comment>
    <comment ref="B1730" authorId="2" shapeId="0" xr:uid="{00000000-0006-0000-0100-000078070000}">
      <text>
        <r>
          <rPr>
            <sz val="11"/>
            <color theme="1"/>
            <rFont val="Calibri"/>
            <family val="2"/>
            <scheme val="minor"/>
          </rPr>
          <t>Introduzca un texto con la finalidad de la contratación</t>
        </r>
      </text>
    </comment>
    <comment ref="C1730" authorId="2" shapeId="0" xr:uid="{00000000-0006-0000-0100-000079070000}">
      <text>
        <r>
          <rPr>
            <sz val="11"/>
            <color theme="1"/>
            <rFont val="Calibri"/>
            <family val="2"/>
            <scheme val="minor"/>
          </rPr>
          <t>Seleccionar un valor del listado</t>
        </r>
      </text>
    </comment>
    <comment ref="D1730" authorId="2" shapeId="0" xr:uid="{00000000-0006-0000-0100-00007A070000}">
      <text>
        <r>
          <rPr>
            <sz val="11"/>
            <color theme="1"/>
            <rFont val="Calibri"/>
            <family val="2"/>
            <scheme val="minor"/>
          </rPr>
          <t>Seleccione el tipo de procedimiento</t>
        </r>
      </text>
    </comment>
    <comment ref="E1730" authorId="2" shapeId="0" xr:uid="{00000000-0006-0000-0100-00007B070000}">
      <text>
        <r>
          <rPr>
            <sz val="11"/>
            <color theme="1"/>
            <rFont val="Calibri"/>
            <family val="2"/>
            <scheme val="minor"/>
          </rPr>
          <t>Seleccione un valor de la lista</t>
        </r>
      </text>
    </comment>
    <comment ref="F1730" authorId="2" shapeId="0" xr:uid="{00000000-0006-0000-0100-00007C070000}">
      <text>
        <r>
          <rPr>
            <sz val="11"/>
            <color theme="1"/>
            <rFont val="Calibri"/>
            <family val="2"/>
            <scheme val="minor"/>
          </rPr>
          <t>Introduzca el código SNIP</t>
        </r>
      </text>
    </comment>
    <comment ref="C1731" authorId="2" shapeId="0" xr:uid="{00000000-0006-0000-0100-00007D070000}">
      <text>
        <r>
          <rPr>
            <sz val="11"/>
            <color theme="1"/>
            <rFont val="Calibri"/>
            <family val="2"/>
            <scheme val="minor"/>
          </rPr>
          <t>Introduzca la fecha de inicio del proceso, en formato dd-mm-aaaa</t>
        </r>
      </text>
    </comment>
    <comment ref="F1731" authorId="2"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2" shapeId="0" xr:uid="{00000000-0006-0000-0100-00007F070000}">
      <text/>
    </comment>
    <comment ref="C1733" authorId="2" shapeId="0" xr:uid="{00000000-0006-0000-0100-000080070000}">
      <text>
        <r>
          <rPr>
            <sz val="11"/>
            <color theme="1"/>
            <rFont val="Calibri"/>
            <family val="2"/>
            <scheme val="minor"/>
          </rPr>
          <t>Introduzca la fecha prevista de adjudicación, en formato dd-mm-aaaa</t>
        </r>
      </text>
    </comment>
    <comment ref="F1733" authorId="2" shapeId="0" xr:uid="{00000000-0006-0000-0100-000081070000}">
      <text/>
    </comment>
    <comment ref="F1734" authorId="2" shapeId="0" xr:uid="{00000000-0006-0000-0100-000082070000}">
      <text/>
    </comment>
    <comment ref="A1736" authorId="2" shapeId="0" xr:uid="{00000000-0006-0000-0100-000083070000}">
      <text>
        <r>
          <rPr>
            <sz val="11"/>
            <color theme="1"/>
            <rFont val="Calibri"/>
            <family val="2"/>
            <scheme val="minor"/>
          </rPr>
          <t>Introduzca un codigo UNSPSC</t>
        </r>
      </text>
    </comment>
    <comment ref="B1736" authorId="2" shapeId="0" xr:uid="{00000000-0006-0000-0100-000084070000}">
      <text>
        <r>
          <rPr>
            <sz val="11"/>
            <color theme="1"/>
            <rFont val="Calibri"/>
            <family val="2"/>
            <scheme val="minor"/>
          </rPr>
          <t>Descripción calculada automáticamente a partir de código del artículo</t>
        </r>
      </text>
    </comment>
    <comment ref="C1736" authorId="2" shapeId="0" xr:uid="{00000000-0006-0000-0100-000085070000}">
      <text>
        <r>
          <rPr>
            <sz val="11"/>
            <color theme="1"/>
            <rFont val="Calibri"/>
            <family val="2"/>
            <scheme val="minor"/>
          </rPr>
          <t>Seleccione un valor de la lista</t>
        </r>
      </text>
    </comment>
    <comment ref="D1736" authorId="2" shapeId="0" xr:uid="{00000000-0006-0000-0100-000086070000}">
      <text>
        <r>
          <rPr>
            <sz val="11"/>
            <color theme="1"/>
            <rFont val="Calibri"/>
            <family val="2"/>
            <scheme val="minor"/>
          </rPr>
          <t>Introduzca un número con dos decimales como máximo. Debe ser igual o mayor a la "Cantidad Real Consumida"</t>
        </r>
      </text>
    </comment>
    <comment ref="E1736" authorId="2" shapeId="0" xr:uid="{00000000-0006-0000-0100-000087070000}">
      <text>
        <r>
          <rPr>
            <sz val="11"/>
            <color theme="1"/>
            <rFont val="Calibri"/>
            <family val="2"/>
            <scheme val="minor"/>
          </rPr>
          <t>Introduzca un número con dos decimales como máximo</t>
        </r>
      </text>
    </comment>
    <comment ref="F1736" authorId="2" shapeId="0" xr:uid="{00000000-0006-0000-0100-000088070000}">
      <text>
        <r>
          <rPr>
            <sz val="11"/>
            <color theme="1"/>
            <rFont val="Calibri"/>
            <family val="2"/>
            <scheme val="minor"/>
          </rPr>
          <t>Monto calculado automáticamente por el sistema</t>
        </r>
      </text>
    </comment>
    <comment ref="A1742" authorId="2" shapeId="0" xr:uid="{00000000-0006-0000-0100-000089070000}">
      <text>
        <r>
          <rPr>
            <sz val="11"/>
            <color theme="1"/>
            <rFont val="Calibri"/>
            <family val="2"/>
            <scheme val="minor"/>
          </rPr>
          <t>Introducir un texto con el nombre o referencia de la contratación</t>
        </r>
      </text>
    </comment>
    <comment ref="B1742" authorId="2" shapeId="0" xr:uid="{00000000-0006-0000-0100-00008A070000}">
      <text>
        <r>
          <rPr>
            <sz val="11"/>
            <color theme="1"/>
            <rFont val="Calibri"/>
            <family val="2"/>
            <scheme val="minor"/>
          </rPr>
          <t>Introduzca un texto con la finalidad de la contratación</t>
        </r>
      </text>
    </comment>
    <comment ref="C1742" authorId="2" shapeId="0" xr:uid="{00000000-0006-0000-0100-00008B070000}">
      <text>
        <r>
          <rPr>
            <sz val="11"/>
            <color theme="1"/>
            <rFont val="Calibri"/>
            <family val="2"/>
            <scheme val="minor"/>
          </rPr>
          <t>Seleccionar un valor del listado</t>
        </r>
      </text>
    </comment>
    <comment ref="D1742" authorId="2" shapeId="0" xr:uid="{00000000-0006-0000-0100-00008C070000}">
      <text>
        <r>
          <rPr>
            <sz val="11"/>
            <color theme="1"/>
            <rFont val="Calibri"/>
            <family val="2"/>
            <scheme val="minor"/>
          </rPr>
          <t>Seleccione el tipo de procedimiento</t>
        </r>
      </text>
    </comment>
    <comment ref="E1742" authorId="2" shapeId="0" xr:uid="{00000000-0006-0000-0100-00008D070000}">
      <text>
        <r>
          <rPr>
            <sz val="11"/>
            <color theme="1"/>
            <rFont val="Calibri"/>
            <family val="2"/>
            <scheme val="minor"/>
          </rPr>
          <t>Seleccione un valor de la lista</t>
        </r>
      </text>
    </comment>
    <comment ref="F1742" authorId="2" shapeId="0" xr:uid="{00000000-0006-0000-0100-00008E070000}">
      <text>
        <r>
          <rPr>
            <sz val="11"/>
            <color theme="1"/>
            <rFont val="Calibri"/>
            <family val="2"/>
            <scheme val="minor"/>
          </rPr>
          <t>Introduzca el código SNIP</t>
        </r>
      </text>
    </comment>
    <comment ref="C1743" authorId="2" shapeId="0" xr:uid="{00000000-0006-0000-0100-00008F070000}">
      <text>
        <r>
          <rPr>
            <sz val="11"/>
            <color theme="1"/>
            <rFont val="Calibri"/>
            <family val="2"/>
            <scheme val="minor"/>
          </rPr>
          <t>Introduzca la fecha de inicio del proceso, en formato dd-mm-aaaa</t>
        </r>
      </text>
    </comment>
    <comment ref="F1743" authorId="2"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xr:uid="{00000000-0006-0000-0100-000091070000}">
      <text/>
    </comment>
    <comment ref="C1745" authorId="2" shapeId="0" xr:uid="{00000000-0006-0000-0100-000092070000}">
      <text>
        <r>
          <rPr>
            <sz val="11"/>
            <color theme="1"/>
            <rFont val="Calibri"/>
            <family val="2"/>
            <scheme val="minor"/>
          </rPr>
          <t>Introduzca la fecha prevista de adjudicación, en formato dd-mm-aaaa</t>
        </r>
      </text>
    </comment>
    <comment ref="F1745" authorId="2" shapeId="0" xr:uid="{00000000-0006-0000-0100-000093070000}">
      <text/>
    </comment>
    <comment ref="F1746" authorId="2" shapeId="0" xr:uid="{00000000-0006-0000-0100-000094070000}">
      <text/>
    </comment>
    <comment ref="A1748" authorId="2" shapeId="0" xr:uid="{00000000-0006-0000-0100-000095070000}">
      <text>
        <r>
          <rPr>
            <sz val="11"/>
            <color theme="1"/>
            <rFont val="Calibri"/>
            <family val="2"/>
            <scheme val="minor"/>
          </rPr>
          <t>Introduzca un codigo UNSPSC</t>
        </r>
      </text>
    </comment>
    <comment ref="B1748" authorId="2" shapeId="0" xr:uid="{00000000-0006-0000-0100-000096070000}">
      <text>
        <r>
          <rPr>
            <sz val="11"/>
            <color theme="1"/>
            <rFont val="Calibri"/>
            <family val="2"/>
            <scheme val="minor"/>
          </rPr>
          <t>Descripción calculada automáticamente a partir de código del artículo</t>
        </r>
      </text>
    </comment>
    <comment ref="C1748" authorId="2" shapeId="0" xr:uid="{00000000-0006-0000-0100-000097070000}">
      <text>
        <r>
          <rPr>
            <sz val="11"/>
            <color theme="1"/>
            <rFont val="Calibri"/>
            <family val="2"/>
            <scheme val="minor"/>
          </rPr>
          <t>Seleccione un valor de la lista</t>
        </r>
      </text>
    </comment>
    <comment ref="D1748" authorId="2" shapeId="0" xr:uid="{00000000-0006-0000-0100-000098070000}">
      <text>
        <r>
          <rPr>
            <sz val="11"/>
            <color theme="1"/>
            <rFont val="Calibri"/>
            <family val="2"/>
            <scheme val="minor"/>
          </rPr>
          <t>Introduzca un número con dos decimales como máximo. Debe ser igual o mayor a la "Cantidad Real Consumida"</t>
        </r>
      </text>
    </comment>
    <comment ref="E1748" authorId="2" shapeId="0" xr:uid="{00000000-0006-0000-0100-000099070000}">
      <text>
        <r>
          <rPr>
            <sz val="11"/>
            <color theme="1"/>
            <rFont val="Calibri"/>
            <family val="2"/>
            <scheme val="minor"/>
          </rPr>
          <t>Introduzca un número con dos decimales como máximo</t>
        </r>
      </text>
    </comment>
    <comment ref="F1748" authorId="2" shapeId="0" xr:uid="{00000000-0006-0000-0100-00009A070000}">
      <text>
        <r>
          <rPr>
            <sz val="11"/>
            <color theme="1"/>
            <rFont val="Calibri"/>
            <family val="2"/>
            <scheme val="minor"/>
          </rPr>
          <t>Monto calculado automáticamente por el sistema</t>
        </r>
      </text>
    </comment>
    <comment ref="A1754" authorId="2" shapeId="0" xr:uid="{00000000-0006-0000-0100-00009B070000}">
      <text>
        <r>
          <rPr>
            <sz val="11"/>
            <color theme="1"/>
            <rFont val="Calibri"/>
            <family val="2"/>
            <scheme val="minor"/>
          </rPr>
          <t>Introducir un texto con el nombre o referencia de la contratación</t>
        </r>
      </text>
    </comment>
    <comment ref="B1754" authorId="2" shapeId="0" xr:uid="{00000000-0006-0000-0100-00009C070000}">
      <text>
        <r>
          <rPr>
            <sz val="11"/>
            <color theme="1"/>
            <rFont val="Calibri"/>
            <family val="2"/>
            <scheme val="minor"/>
          </rPr>
          <t>Introduzca un texto con la finalidad de la contratación</t>
        </r>
      </text>
    </comment>
    <comment ref="C1754" authorId="2" shapeId="0" xr:uid="{00000000-0006-0000-0100-00009D070000}">
      <text>
        <r>
          <rPr>
            <sz val="11"/>
            <color theme="1"/>
            <rFont val="Calibri"/>
            <family val="2"/>
            <scheme val="minor"/>
          </rPr>
          <t>Seleccionar un valor del listado</t>
        </r>
      </text>
    </comment>
    <comment ref="D1754" authorId="2" shapeId="0" xr:uid="{00000000-0006-0000-0100-00009E070000}">
      <text>
        <r>
          <rPr>
            <sz val="11"/>
            <color theme="1"/>
            <rFont val="Calibri"/>
            <family val="2"/>
            <scheme val="minor"/>
          </rPr>
          <t>Seleccione el tipo de procedimiento</t>
        </r>
      </text>
    </comment>
    <comment ref="E1754" authorId="2" shapeId="0" xr:uid="{00000000-0006-0000-0100-00009F070000}">
      <text>
        <r>
          <rPr>
            <sz val="11"/>
            <color theme="1"/>
            <rFont val="Calibri"/>
            <family val="2"/>
            <scheme val="minor"/>
          </rPr>
          <t>Seleccione un valor de la lista</t>
        </r>
      </text>
    </comment>
    <comment ref="F1754" authorId="2" shapeId="0" xr:uid="{00000000-0006-0000-0100-0000A0070000}">
      <text>
        <r>
          <rPr>
            <sz val="11"/>
            <color theme="1"/>
            <rFont val="Calibri"/>
            <family val="2"/>
            <scheme val="minor"/>
          </rPr>
          <t>Introduzca el código SNIP</t>
        </r>
      </text>
    </comment>
    <comment ref="C1755" authorId="2" shapeId="0" xr:uid="{00000000-0006-0000-0100-0000A1070000}">
      <text>
        <r>
          <rPr>
            <sz val="11"/>
            <color theme="1"/>
            <rFont val="Calibri"/>
            <family val="2"/>
            <scheme val="minor"/>
          </rPr>
          <t>Introduzca la fecha de inicio del proceso, en formato dd-mm-aaaa</t>
        </r>
      </text>
    </comment>
    <comment ref="F1755" authorId="2"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xr:uid="{00000000-0006-0000-0100-0000A3070000}">
      <text/>
    </comment>
    <comment ref="C1757" authorId="2" shapeId="0" xr:uid="{00000000-0006-0000-0100-0000A4070000}">
      <text>
        <r>
          <rPr>
            <sz val="11"/>
            <color theme="1"/>
            <rFont val="Calibri"/>
            <family val="2"/>
            <scheme val="minor"/>
          </rPr>
          <t>Introduzca la fecha prevista de adjudicación, en formato dd-mm-aaaa</t>
        </r>
      </text>
    </comment>
    <comment ref="F1757" authorId="2" shapeId="0" xr:uid="{00000000-0006-0000-0100-0000A5070000}">
      <text/>
    </comment>
    <comment ref="F1758" authorId="2" shapeId="0" xr:uid="{00000000-0006-0000-0100-0000A6070000}">
      <text/>
    </comment>
    <comment ref="A1760" authorId="2" shapeId="0" xr:uid="{00000000-0006-0000-0100-0000A7070000}">
      <text>
        <r>
          <rPr>
            <sz val="11"/>
            <color theme="1"/>
            <rFont val="Calibri"/>
            <family val="2"/>
            <scheme val="minor"/>
          </rPr>
          <t>Introduzca un codigo UNSPSC</t>
        </r>
      </text>
    </comment>
    <comment ref="B1760" authorId="2" shapeId="0" xr:uid="{00000000-0006-0000-0100-0000A8070000}">
      <text>
        <r>
          <rPr>
            <sz val="11"/>
            <color theme="1"/>
            <rFont val="Calibri"/>
            <family val="2"/>
            <scheme val="minor"/>
          </rPr>
          <t>Descripción calculada automáticamente a partir de código del artículo</t>
        </r>
      </text>
    </comment>
    <comment ref="C1760" authorId="2" shapeId="0" xr:uid="{00000000-0006-0000-0100-0000A9070000}">
      <text>
        <r>
          <rPr>
            <sz val="11"/>
            <color theme="1"/>
            <rFont val="Calibri"/>
            <family val="2"/>
            <scheme val="minor"/>
          </rPr>
          <t>Seleccione un valor de la lista</t>
        </r>
      </text>
    </comment>
    <comment ref="D1760" authorId="2" shapeId="0" xr:uid="{00000000-0006-0000-0100-0000AA070000}">
      <text>
        <r>
          <rPr>
            <sz val="11"/>
            <color theme="1"/>
            <rFont val="Calibri"/>
            <family val="2"/>
            <scheme val="minor"/>
          </rPr>
          <t>Introduzca un número con dos decimales como máximo. Debe ser igual o mayor a la "Cantidad Real Consumida"</t>
        </r>
      </text>
    </comment>
    <comment ref="E1760" authorId="2" shapeId="0" xr:uid="{00000000-0006-0000-0100-0000AB070000}">
      <text>
        <r>
          <rPr>
            <sz val="11"/>
            <color theme="1"/>
            <rFont val="Calibri"/>
            <family val="2"/>
            <scheme val="minor"/>
          </rPr>
          <t>Introduzca un número con dos decimales como máximo</t>
        </r>
      </text>
    </comment>
    <comment ref="F1760" authorId="2" shapeId="0" xr:uid="{00000000-0006-0000-0100-0000AC070000}">
      <text>
        <r>
          <rPr>
            <sz val="11"/>
            <color theme="1"/>
            <rFont val="Calibri"/>
            <family val="2"/>
            <scheme val="minor"/>
          </rPr>
          <t>Monto calculado automáticamente por el sistema</t>
        </r>
      </text>
    </comment>
    <comment ref="A1766" authorId="2" shapeId="0" xr:uid="{00000000-0006-0000-0100-0000AD070000}">
      <text>
        <r>
          <rPr>
            <sz val="11"/>
            <color theme="1"/>
            <rFont val="Calibri"/>
            <family val="2"/>
            <scheme val="minor"/>
          </rPr>
          <t>Introducir un texto con el nombre o referencia de la contratación</t>
        </r>
      </text>
    </comment>
    <comment ref="B1766" authorId="2" shapeId="0" xr:uid="{00000000-0006-0000-0100-0000AE070000}">
      <text>
        <r>
          <rPr>
            <sz val="11"/>
            <color theme="1"/>
            <rFont val="Calibri"/>
            <family val="2"/>
            <scheme val="minor"/>
          </rPr>
          <t>Introduzca un texto con la finalidad de la contratación</t>
        </r>
      </text>
    </comment>
    <comment ref="C1766" authorId="2" shapeId="0" xr:uid="{00000000-0006-0000-0100-0000AF070000}">
      <text>
        <r>
          <rPr>
            <sz val="11"/>
            <color theme="1"/>
            <rFont val="Calibri"/>
            <family val="2"/>
            <scheme val="minor"/>
          </rPr>
          <t>Seleccionar un valor del listado</t>
        </r>
      </text>
    </comment>
    <comment ref="D1766" authorId="2" shapeId="0" xr:uid="{00000000-0006-0000-0100-0000B0070000}">
      <text>
        <r>
          <rPr>
            <sz val="11"/>
            <color theme="1"/>
            <rFont val="Calibri"/>
            <family val="2"/>
            <scheme val="minor"/>
          </rPr>
          <t>Seleccione el tipo de procedimiento</t>
        </r>
      </text>
    </comment>
    <comment ref="E1766" authorId="2" shapeId="0" xr:uid="{00000000-0006-0000-0100-0000B1070000}">
      <text>
        <r>
          <rPr>
            <sz val="11"/>
            <color theme="1"/>
            <rFont val="Calibri"/>
            <family val="2"/>
            <scheme val="minor"/>
          </rPr>
          <t>Seleccione un valor de la lista</t>
        </r>
      </text>
    </comment>
    <comment ref="F1766" authorId="2" shapeId="0" xr:uid="{00000000-0006-0000-0100-0000B2070000}">
      <text>
        <r>
          <rPr>
            <sz val="11"/>
            <color theme="1"/>
            <rFont val="Calibri"/>
            <family val="2"/>
            <scheme val="minor"/>
          </rPr>
          <t>Introduzca el código SNIP</t>
        </r>
      </text>
    </comment>
    <comment ref="C1767" authorId="2" shapeId="0" xr:uid="{00000000-0006-0000-0100-0000B3070000}">
      <text>
        <r>
          <rPr>
            <sz val="11"/>
            <color theme="1"/>
            <rFont val="Calibri"/>
            <family val="2"/>
            <scheme val="minor"/>
          </rPr>
          <t>Introduzca la fecha de inicio del proceso, en formato dd-mm-aaaa</t>
        </r>
      </text>
    </comment>
    <comment ref="F1767" authorId="2"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8" authorId="2" shapeId="0" xr:uid="{00000000-0006-0000-0100-0000B5070000}">
      <text/>
    </comment>
    <comment ref="C1769" authorId="2" shapeId="0" xr:uid="{00000000-0006-0000-0100-0000B6070000}">
      <text>
        <r>
          <rPr>
            <sz val="11"/>
            <color theme="1"/>
            <rFont val="Calibri"/>
            <family val="2"/>
            <scheme val="minor"/>
          </rPr>
          <t>Introduzca la fecha prevista de adjudicación, en formato dd-mm-aaaa</t>
        </r>
      </text>
    </comment>
    <comment ref="F1769" authorId="2" shapeId="0" xr:uid="{00000000-0006-0000-0100-0000B7070000}">
      <text/>
    </comment>
    <comment ref="F1770" authorId="2" shapeId="0" xr:uid="{00000000-0006-0000-0100-0000B8070000}">
      <text/>
    </comment>
    <comment ref="A1772" authorId="2" shapeId="0" xr:uid="{00000000-0006-0000-0100-0000B9070000}">
      <text>
        <r>
          <rPr>
            <sz val="11"/>
            <color theme="1"/>
            <rFont val="Calibri"/>
            <family val="2"/>
            <scheme val="minor"/>
          </rPr>
          <t>Introduzca un codigo UNSPSC</t>
        </r>
      </text>
    </comment>
    <comment ref="B1772" authorId="2" shapeId="0" xr:uid="{00000000-0006-0000-0100-0000BA070000}">
      <text>
        <r>
          <rPr>
            <sz val="11"/>
            <color theme="1"/>
            <rFont val="Calibri"/>
            <family val="2"/>
            <scheme val="minor"/>
          </rPr>
          <t>Descripción calculada automáticamente a partir de código del artículo</t>
        </r>
      </text>
    </comment>
    <comment ref="C1772" authorId="2" shapeId="0" xr:uid="{00000000-0006-0000-0100-0000BB070000}">
      <text>
        <r>
          <rPr>
            <sz val="11"/>
            <color theme="1"/>
            <rFont val="Calibri"/>
            <family val="2"/>
            <scheme val="minor"/>
          </rPr>
          <t>Seleccione un valor de la lista</t>
        </r>
      </text>
    </comment>
    <comment ref="D1772" authorId="2" shapeId="0" xr:uid="{00000000-0006-0000-0100-0000BC070000}">
      <text>
        <r>
          <rPr>
            <sz val="11"/>
            <color theme="1"/>
            <rFont val="Calibri"/>
            <family val="2"/>
            <scheme val="minor"/>
          </rPr>
          <t>Introduzca un número con dos decimales como máximo. Debe ser igual o mayor a la "Cantidad Real Consumida"</t>
        </r>
      </text>
    </comment>
    <comment ref="E1772" authorId="2" shapeId="0" xr:uid="{00000000-0006-0000-0100-0000BD070000}">
      <text>
        <r>
          <rPr>
            <sz val="11"/>
            <color theme="1"/>
            <rFont val="Calibri"/>
            <family val="2"/>
            <scheme val="minor"/>
          </rPr>
          <t>Introduzca un número con dos decimales como máximo</t>
        </r>
      </text>
    </comment>
    <comment ref="F1772" authorId="2" shapeId="0" xr:uid="{00000000-0006-0000-0100-0000BE070000}">
      <text>
        <r>
          <rPr>
            <sz val="11"/>
            <color theme="1"/>
            <rFont val="Calibri"/>
            <family val="2"/>
            <scheme val="minor"/>
          </rPr>
          <t>Monto calculado automáticamente por el sistema</t>
        </r>
      </text>
    </comment>
    <comment ref="A1778" authorId="2" shapeId="0" xr:uid="{00000000-0006-0000-0100-0000BF070000}">
      <text>
        <r>
          <rPr>
            <sz val="11"/>
            <color theme="1"/>
            <rFont val="Calibri"/>
            <family val="2"/>
            <scheme val="minor"/>
          </rPr>
          <t>Introducir un texto con el nombre o referencia de la contratación</t>
        </r>
      </text>
    </comment>
    <comment ref="B1778" authorId="2" shapeId="0" xr:uid="{00000000-0006-0000-0100-0000C0070000}">
      <text>
        <r>
          <rPr>
            <sz val="11"/>
            <color theme="1"/>
            <rFont val="Calibri"/>
            <family val="2"/>
            <scheme val="minor"/>
          </rPr>
          <t>Introduzca un texto con la finalidad de la contratación</t>
        </r>
      </text>
    </comment>
    <comment ref="C1778" authorId="2" shapeId="0" xr:uid="{00000000-0006-0000-0100-0000C1070000}">
      <text>
        <r>
          <rPr>
            <sz val="11"/>
            <color theme="1"/>
            <rFont val="Calibri"/>
            <family val="2"/>
            <scheme val="minor"/>
          </rPr>
          <t>Seleccionar un valor del listado</t>
        </r>
      </text>
    </comment>
    <comment ref="D1778" authorId="2" shapeId="0" xr:uid="{00000000-0006-0000-0100-0000C2070000}">
      <text>
        <r>
          <rPr>
            <sz val="11"/>
            <color theme="1"/>
            <rFont val="Calibri"/>
            <family val="2"/>
            <scheme val="minor"/>
          </rPr>
          <t>Seleccione el tipo de procedimiento</t>
        </r>
      </text>
    </comment>
    <comment ref="E1778" authorId="2" shapeId="0" xr:uid="{00000000-0006-0000-0100-0000C3070000}">
      <text>
        <r>
          <rPr>
            <sz val="11"/>
            <color theme="1"/>
            <rFont val="Calibri"/>
            <family val="2"/>
            <scheme val="minor"/>
          </rPr>
          <t>Seleccione un valor de la lista</t>
        </r>
      </text>
    </comment>
    <comment ref="F1778" authorId="2" shapeId="0" xr:uid="{00000000-0006-0000-0100-0000C4070000}">
      <text>
        <r>
          <rPr>
            <sz val="11"/>
            <color theme="1"/>
            <rFont val="Calibri"/>
            <family val="2"/>
            <scheme val="minor"/>
          </rPr>
          <t>Introduzca el código SNIP</t>
        </r>
      </text>
    </comment>
    <comment ref="C1779" authorId="2" shapeId="0" xr:uid="{00000000-0006-0000-0100-0000C5070000}">
      <text>
        <r>
          <rPr>
            <sz val="11"/>
            <color theme="1"/>
            <rFont val="Calibri"/>
            <family val="2"/>
            <scheme val="minor"/>
          </rPr>
          <t>Introduzca la fecha de inicio del proceso, en formato dd-mm-aaaa</t>
        </r>
      </text>
    </comment>
    <comment ref="F1779" authorId="2"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2" shapeId="0" xr:uid="{00000000-0006-0000-0100-0000C7070000}">
      <text/>
    </comment>
    <comment ref="C1781" authorId="2" shapeId="0" xr:uid="{00000000-0006-0000-0100-0000C8070000}">
      <text>
        <r>
          <rPr>
            <sz val="11"/>
            <color theme="1"/>
            <rFont val="Calibri"/>
            <family val="2"/>
            <scheme val="minor"/>
          </rPr>
          <t>Introduzca la fecha prevista de adjudicación, en formato dd-mm-aaaa</t>
        </r>
      </text>
    </comment>
    <comment ref="F1781" authorId="2" shapeId="0" xr:uid="{00000000-0006-0000-0100-0000C9070000}">
      <text/>
    </comment>
    <comment ref="F1782" authorId="2" shapeId="0" xr:uid="{00000000-0006-0000-0100-0000CA070000}">
      <text/>
    </comment>
    <comment ref="A1784" authorId="2" shapeId="0" xr:uid="{00000000-0006-0000-0100-0000CB070000}">
      <text>
        <r>
          <rPr>
            <sz val="11"/>
            <color theme="1"/>
            <rFont val="Calibri"/>
            <family val="2"/>
            <scheme val="minor"/>
          </rPr>
          <t>Introduzca un codigo UNSPSC</t>
        </r>
      </text>
    </comment>
    <comment ref="B1784" authorId="2" shapeId="0" xr:uid="{00000000-0006-0000-0100-0000CC070000}">
      <text>
        <r>
          <rPr>
            <sz val="11"/>
            <color theme="1"/>
            <rFont val="Calibri"/>
            <family val="2"/>
            <scheme val="minor"/>
          </rPr>
          <t>Descripción calculada automáticamente a partir de código del artículo</t>
        </r>
      </text>
    </comment>
    <comment ref="C1784" authorId="2" shapeId="0" xr:uid="{00000000-0006-0000-0100-0000CD070000}">
      <text>
        <r>
          <rPr>
            <sz val="11"/>
            <color theme="1"/>
            <rFont val="Calibri"/>
            <family val="2"/>
            <scheme val="minor"/>
          </rPr>
          <t>Seleccione un valor de la lista</t>
        </r>
      </text>
    </comment>
    <comment ref="D1784" authorId="2" shapeId="0" xr:uid="{00000000-0006-0000-0100-0000CE070000}">
      <text>
        <r>
          <rPr>
            <sz val="11"/>
            <color theme="1"/>
            <rFont val="Calibri"/>
            <family val="2"/>
            <scheme val="minor"/>
          </rPr>
          <t>Introduzca un número con dos decimales como máximo. Debe ser igual o mayor a la "Cantidad Real Consumida"</t>
        </r>
      </text>
    </comment>
    <comment ref="E1784" authorId="2" shapeId="0" xr:uid="{00000000-0006-0000-0100-0000CF070000}">
      <text>
        <r>
          <rPr>
            <sz val="11"/>
            <color theme="1"/>
            <rFont val="Calibri"/>
            <family val="2"/>
            <scheme val="minor"/>
          </rPr>
          <t>Introduzca un número con dos decimales como máximo</t>
        </r>
      </text>
    </comment>
    <comment ref="F1784" authorId="2" shapeId="0" xr:uid="{00000000-0006-0000-0100-0000D0070000}">
      <text>
        <r>
          <rPr>
            <sz val="11"/>
            <color theme="1"/>
            <rFont val="Calibri"/>
            <family val="2"/>
            <scheme val="minor"/>
          </rPr>
          <t>Monto calculado automáticamente por el sistema</t>
        </r>
      </text>
    </comment>
    <comment ref="A1790" authorId="2" shapeId="0" xr:uid="{00000000-0006-0000-0100-0000D1070000}">
      <text>
        <r>
          <rPr>
            <sz val="11"/>
            <color theme="1"/>
            <rFont val="Calibri"/>
            <family val="2"/>
            <scheme val="minor"/>
          </rPr>
          <t>Introducir un texto con el nombre o referencia de la contratación</t>
        </r>
      </text>
    </comment>
    <comment ref="B1790" authorId="2" shapeId="0" xr:uid="{00000000-0006-0000-0100-0000D2070000}">
      <text>
        <r>
          <rPr>
            <sz val="11"/>
            <color theme="1"/>
            <rFont val="Calibri"/>
            <family val="2"/>
            <scheme val="minor"/>
          </rPr>
          <t>Introduzca un texto con la finalidad de la contratación</t>
        </r>
      </text>
    </comment>
    <comment ref="C1790" authorId="2" shapeId="0" xr:uid="{00000000-0006-0000-0100-0000D3070000}">
      <text>
        <r>
          <rPr>
            <sz val="11"/>
            <color theme="1"/>
            <rFont val="Calibri"/>
            <family val="2"/>
            <scheme val="minor"/>
          </rPr>
          <t>Seleccionar un valor del listado</t>
        </r>
      </text>
    </comment>
    <comment ref="D1790" authorId="2" shapeId="0" xr:uid="{00000000-0006-0000-0100-0000D4070000}">
      <text>
        <r>
          <rPr>
            <sz val="11"/>
            <color theme="1"/>
            <rFont val="Calibri"/>
            <family val="2"/>
            <scheme val="minor"/>
          </rPr>
          <t>Seleccione el tipo de procedimiento</t>
        </r>
      </text>
    </comment>
    <comment ref="E1790" authorId="2" shapeId="0" xr:uid="{00000000-0006-0000-0100-0000D5070000}">
      <text>
        <r>
          <rPr>
            <sz val="11"/>
            <color theme="1"/>
            <rFont val="Calibri"/>
            <family val="2"/>
            <scheme val="minor"/>
          </rPr>
          <t>Seleccione un valor de la lista</t>
        </r>
      </text>
    </comment>
    <comment ref="F1790" authorId="2" shapeId="0" xr:uid="{00000000-0006-0000-0100-0000D6070000}">
      <text>
        <r>
          <rPr>
            <sz val="11"/>
            <color theme="1"/>
            <rFont val="Calibri"/>
            <family val="2"/>
            <scheme val="minor"/>
          </rPr>
          <t>Introduzca el código SNIP</t>
        </r>
      </text>
    </comment>
    <comment ref="C1791" authorId="2" shapeId="0" xr:uid="{00000000-0006-0000-0100-0000D7070000}">
      <text>
        <r>
          <rPr>
            <sz val="11"/>
            <color theme="1"/>
            <rFont val="Calibri"/>
            <family val="2"/>
            <scheme val="minor"/>
          </rPr>
          <t>Introduzca la fecha de inicio del proceso, en formato dd-mm-aaaa</t>
        </r>
      </text>
    </comment>
    <comment ref="F1791" authorId="2"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2" shapeId="0" xr:uid="{00000000-0006-0000-0100-0000D9070000}">
      <text/>
    </comment>
    <comment ref="C1793" authorId="2" shapeId="0" xr:uid="{00000000-0006-0000-0100-0000DA070000}">
      <text>
        <r>
          <rPr>
            <sz val="11"/>
            <color theme="1"/>
            <rFont val="Calibri"/>
            <family val="2"/>
            <scheme val="minor"/>
          </rPr>
          <t>Introduzca la fecha prevista de adjudicación, en formato dd-mm-aaaa</t>
        </r>
      </text>
    </comment>
    <comment ref="F1793" authorId="2" shapeId="0" xr:uid="{00000000-0006-0000-0100-0000DB070000}">
      <text/>
    </comment>
    <comment ref="F1794" authorId="2" shapeId="0" xr:uid="{00000000-0006-0000-0100-0000DC070000}">
      <text/>
    </comment>
    <comment ref="A1796" authorId="2" shapeId="0" xr:uid="{00000000-0006-0000-0100-0000DD070000}">
      <text>
        <r>
          <rPr>
            <sz val="11"/>
            <color theme="1"/>
            <rFont val="Calibri"/>
            <family val="2"/>
            <scheme val="minor"/>
          </rPr>
          <t>Introduzca un codigo UNSPSC</t>
        </r>
      </text>
    </comment>
    <comment ref="B1796" authorId="2" shapeId="0" xr:uid="{00000000-0006-0000-0100-0000DE070000}">
      <text>
        <r>
          <rPr>
            <sz val="11"/>
            <color theme="1"/>
            <rFont val="Calibri"/>
            <family val="2"/>
            <scheme val="minor"/>
          </rPr>
          <t>Descripción calculada automáticamente a partir de código del artículo</t>
        </r>
      </text>
    </comment>
    <comment ref="C1796" authorId="2" shapeId="0" xr:uid="{00000000-0006-0000-0100-0000DF070000}">
      <text>
        <r>
          <rPr>
            <sz val="11"/>
            <color theme="1"/>
            <rFont val="Calibri"/>
            <family val="2"/>
            <scheme val="minor"/>
          </rPr>
          <t>Seleccione un valor de la lista</t>
        </r>
      </text>
    </comment>
    <comment ref="D1796" authorId="2" shapeId="0" xr:uid="{00000000-0006-0000-0100-0000E0070000}">
      <text>
        <r>
          <rPr>
            <sz val="11"/>
            <color theme="1"/>
            <rFont val="Calibri"/>
            <family val="2"/>
            <scheme val="minor"/>
          </rPr>
          <t>Introduzca un número con dos decimales como máximo. Debe ser igual o mayor a la "Cantidad Real Consumida"</t>
        </r>
      </text>
    </comment>
    <comment ref="E1796" authorId="2" shapeId="0" xr:uid="{00000000-0006-0000-0100-0000E1070000}">
      <text>
        <r>
          <rPr>
            <sz val="11"/>
            <color theme="1"/>
            <rFont val="Calibri"/>
            <family val="2"/>
            <scheme val="minor"/>
          </rPr>
          <t>Introduzca un número con dos decimales como máximo</t>
        </r>
      </text>
    </comment>
    <comment ref="F1796" authorId="2" shapeId="0" xr:uid="{00000000-0006-0000-0100-0000E2070000}">
      <text>
        <r>
          <rPr>
            <sz val="11"/>
            <color theme="1"/>
            <rFont val="Calibri"/>
            <family val="2"/>
            <scheme val="minor"/>
          </rPr>
          <t>Monto calculado automáticamente por el sistema</t>
        </r>
      </text>
    </comment>
    <comment ref="A1802" authorId="2" shapeId="0" xr:uid="{00000000-0006-0000-0100-0000E3070000}">
      <text>
        <r>
          <rPr>
            <sz val="11"/>
            <color theme="1"/>
            <rFont val="Calibri"/>
            <family val="2"/>
            <scheme val="minor"/>
          </rPr>
          <t>Introducir un texto con el nombre o referencia de la contratación</t>
        </r>
      </text>
    </comment>
    <comment ref="B1802" authorId="2" shapeId="0" xr:uid="{00000000-0006-0000-0100-0000E4070000}">
      <text>
        <r>
          <rPr>
            <sz val="11"/>
            <color theme="1"/>
            <rFont val="Calibri"/>
            <family val="2"/>
            <scheme val="minor"/>
          </rPr>
          <t>Introduzca un texto con la finalidad de la contratación</t>
        </r>
      </text>
    </comment>
    <comment ref="C1802" authorId="2" shapeId="0" xr:uid="{00000000-0006-0000-0100-0000E5070000}">
      <text>
        <r>
          <rPr>
            <sz val="11"/>
            <color theme="1"/>
            <rFont val="Calibri"/>
            <family val="2"/>
            <scheme val="minor"/>
          </rPr>
          <t>Seleccionar un valor del listado</t>
        </r>
      </text>
    </comment>
    <comment ref="D1802" authorId="2" shapeId="0" xr:uid="{00000000-0006-0000-0100-0000E6070000}">
      <text>
        <r>
          <rPr>
            <sz val="11"/>
            <color theme="1"/>
            <rFont val="Calibri"/>
            <family val="2"/>
            <scheme val="minor"/>
          </rPr>
          <t>Seleccione el tipo de procedimiento</t>
        </r>
      </text>
    </comment>
    <comment ref="E1802" authorId="2" shapeId="0" xr:uid="{00000000-0006-0000-0100-0000E7070000}">
      <text>
        <r>
          <rPr>
            <sz val="11"/>
            <color theme="1"/>
            <rFont val="Calibri"/>
            <family val="2"/>
            <scheme val="minor"/>
          </rPr>
          <t>Seleccione un valor de la lista</t>
        </r>
      </text>
    </comment>
    <comment ref="F1802" authorId="2" shapeId="0" xr:uid="{00000000-0006-0000-0100-0000E8070000}">
      <text>
        <r>
          <rPr>
            <sz val="11"/>
            <color theme="1"/>
            <rFont val="Calibri"/>
            <family val="2"/>
            <scheme val="minor"/>
          </rPr>
          <t>Introduzca el código SNIP</t>
        </r>
      </text>
    </comment>
    <comment ref="C1803" authorId="2" shapeId="0" xr:uid="{00000000-0006-0000-0100-0000E9070000}">
      <text>
        <r>
          <rPr>
            <sz val="11"/>
            <color theme="1"/>
            <rFont val="Calibri"/>
            <family val="2"/>
            <scheme val="minor"/>
          </rPr>
          <t>Introduzca la fecha de inicio del proceso, en formato dd-mm-aaaa</t>
        </r>
      </text>
    </comment>
    <comment ref="F1803" authorId="2"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2" shapeId="0" xr:uid="{00000000-0006-0000-0100-0000EB070000}">
      <text/>
    </comment>
    <comment ref="C1805" authorId="2" shapeId="0" xr:uid="{00000000-0006-0000-0100-0000EC070000}">
      <text>
        <r>
          <rPr>
            <sz val="11"/>
            <color theme="1"/>
            <rFont val="Calibri"/>
            <family val="2"/>
            <scheme val="minor"/>
          </rPr>
          <t>Introduzca la fecha prevista de adjudicación, en formato dd-mm-aaaa</t>
        </r>
      </text>
    </comment>
    <comment ref="F1805" authorId="2" shapeId="0" xr:uid="{00000000-0006-0000-0100-0000ED070000}">
      <text/>
    </comment>
    <comment ref="F1806" authorId="2" shapeId="0" xr:uid="{00000000-0006-0000-0100-0000EE070000}">
      <text/>
    </comment>
    <comment ref="A1808" authorId="2" shapeId="0" xr:uid="{00000000-0006-0000-0100-0000EF070000}">
      <text>
        <r>
          <rPr>
            <sz val="11"/>
            <color theme="1"/>
            <rFont val="Calibri"/>
            <family val="2"/>
            <scheme val="minor"/>
          </rPr>
          <t>Introduzca un codigo UNSPSC</t>
        </r>
      </text>
    </comment>
    <comment ref="B1808" authorId="2" shapeId="0" xr:uid="{00000000-0006-0000-0100-0000F0070000}">
      <text>
        <r>
          <rPr>
            <sz val="11"/>
            <color theme="1"/>
            <rFont val="Calibri"/>
            <family val="2"/>
            <scheme val="minor"/>
          </rPr>
          <t>Descripción calculada automáticamente a partir de código del artículo</t>
        </r>
      </text>
    </comment>
    <comment ref="C1808" authorId="2" shapeId="0" xr:uid="{00000000-0006-0000-0100-0000F1070000}">
      <text>
        <r>
          <rPr>
            <sz val="11"/>
            <color theme="1"/>
            <rFont val="Calibri"/>
            <family val="2"/>
            <scheme val="minor"/>
          </rPr>
          <t>Seleccione un valor de la lista</t>
        </r>
      </text>
    </comment>
    <comment ref="D1808" authorId="2" shapeId="0" xr:uid="{00000000-0006-0000-0100-0000F2070000}">
      <text>
        <r>
          <rPr>
            <sz val="11"/>
            <color theme="1"/>
            <rFont val="Calibri"/>
            <family val="2"/>
            <scheme val="minor"/>
          </rPr>
          <t>Introduzca un número con dos decimales como máximo. Debe ser igual o mayor a la "Cantidad Real Consumida"</t>
        </r>
      </text>
    </comment>
    <comment ref="E1808" authorId="2" shapeId="0" xr:uid="{00000000-0006-0000-0100-0000F3070000}">
      <text>
        <r>
          <rPr>
            <sz val="11"/>
            <color theme="1"/>
            <rFont val="Calibri"/>
            <family val="2"/>
            <scheme val="minor"/>
          </rPr>
          <t>Introduzca un número con dos decimales como máximo</t>
        </r>
      </text>
    </comment>
    <comment ref="F1808" authorId="2" shapeId="0" xr:uid="{00000000-0006-0000-0100-0000F4070000}">
      <text>
        <r>
          <rPr>
            <sz val="11"/>
            <color theme="1"/>
            <rFont val="Calibri"/>
            <family val="2"/>
            <scheme val="minor"/>
          </rPr>
          <t>Monto calculado automáticamente por el sistema</t>
        </r>
      </text>
    </comment>
    <comment ref="A1814" authorId="2" shapeId="0" xr:uid="{00000000-0006-0000-0100-0000F5070000}">
      <text>
        <r>
          <rPr>
            <sz val="11"/>
            <color theme="1"/>
            <rFont val="Calibri"/>
            <family val="2"/>
            <scheme val="minor"/>
          </rPr>
          <t>Introducir un texto con el nombre o referencia de la contratación</t>
        </r>
      </text>
    </comment>
    <comment ref="B1814" authorId="2" shapeId="0" xr:uid="{00000000-0006-0000-0100-0000F6070000}">
      <text>
        <r>
          <rPr>
            <sz val="11"/>
            <color theme="1"/>
            <rFont val="Calibri"/>
            <family val="2"/>
            <scheme val="minor"/>
          </rPr>
          <t>Introduzca un texto con la finalidad de la contratación</t>
        </r>
      </text>
    </comment>
    <comment ref="C1814" authorId="2" shapeId="0" xr:uid="{00000000-0006-0000-0100-0000F7070000}">
      <text>
        <r>
          <rPr>
            <sz val="11"/>
            <color theme="1"/>
            <rFont val="Calibri"/>
            <family val="2"/>
            <scheme val="minor"/>
          </rPr>
          <t>Seleccionar un valor del listado</t>
        </r>
      </text>
    </comment>
    <comment ref="D1814" authorId="2" shapeId="0" xr:uid="{00000000-0006-0000-0100-0000F8070000}">
      <text>
        <r>
          <rPr>
            <sz val="11"/>
            <color theme="1"/>
            <rFont val="Calibri"/>
            <family val="2"/>
            <scheme val="minor"/>
          </rPr>
          <t>Seleccione el tipo de procedimiento</t>
        </r>
      </text>
    </comment>
    <comment ref="E1814" authorId="2" shapeId="0" xr:uid="{00000000-0006-0000-0100-0000F9070000}">
      <text>
        <r>
          <rPr>
            <sz val="11"/>
            <color theme="1"/>
            <rFont val="Calibri"/>
            <family val="2"/>
            <scheme val="minor"/>
          </rPr>
          <t>Seleccione un valor de la lista</t>
        </r>
      </text>
    </comment>
    <comment ref="F1814" authorId="2" shapeId="0" xr:uid="{00000000-0006-0000-0100-0000FA070000}">
      <text>
        <r>
          <rPr>
            <sz val="11"/>
            <color theme="1"/>
            <rFont val="Calibri"/>
            <family val="2"/>
            <scheme val="minor"/>
          </rPr>
          <t>Introduzca el código SNIP</t>
        </r>
      </text>
    </comment>
    <comment ref="C1815" authorId="2" shapeId="0" xr:uid="{00000000-0006-0000-0100-0000FB070000}">
      <text>
        <r>
          <rPr>
            <sz val="11"/>
            <color theme="1"/>
            <rFont val="Calibri"/>
            <family val="2"/>
            <scheme val="minor"/>
          </rPr>
          <t>Introduzca la fecha de inicio del proceso, en formato dd-mm-aaaa</t>
        </r>
      </text>
    </comment>
    <comment ref="F1815" authorId="2"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2" shapeId="0" xr:uid="{00000000-0006-0000-0100-0000FD070000}">
      <text/>
    </comment>
    <comment ref="C1817" authorId="2" shapeId="0" xr:uid="{00000000-0006-0000-0100-0000FE070000}">
      <text>
        <r>
          <rPr>
            <sz val="11"/>
            <color theme="1"/>
            <rFont val="Calibri"/>
            <family val="2"/>
            <scheme val="minor"/>
          </rPr>
          <t>Introduzca la fecha prevista de adjudicación, en formato dd-mm-aaaa</t>
        </r>
      </text>
    </comment>
    <comment ref="F1817" authorId="2" shapeId="0" xr:uid="{00000000-0006-0000-0100-0000FF070000}">
      <text/>
    </comment>
    <comment ref="F1818" authorId="2" shapeId="0" xr:uid="{00000000-0006-0000-0100-000000080000}">
      <text/>
    </comment>
    <comment ref="A1820" authorId="2" shapeId="0" xr:uid="{00000000-0006-0000-0100-000001080000}">
      <text>
        <r>
          <rPr>
            <sz val="11"/>
            <color theme="1"/>
            <rFont val="Calibri"/>
            <family val="2"/>
            <scheme val="minor"/>
          </rPr>
          <t>Introduzca un codigo UNSPSC</t>
        </r>
      </text>
    </comment>
    <comment ref="B1820" authorId="2" shapeId="0" xr:uid="{00000000-0006-0000-0100-000002080000}">
      <text>
        <r>
          <rPr>
            <sz val="11"/>
            <color theme="1"/>
            <rFont val="Calibri"/>
            <family val="2"/>
            <scheme val="minor"/>
          </rPr>
          <t>Descripción calculada automáticamente a partir de código del artículo</t>
        </r>
      </text>
    </comment>
    <comment ref="C1820" authorId="2" shapeId="0" xr:uid="{00000000-0006-0000-0100-000003080000}">
      <text>
        <r>
          <rPr>
            <sz val="11"/>
            <color theme="1"/>
            <rFont val="Calibri"/>
            <family val="2"/>
            <scheme val="minor"/>
          </rPr>
          <t>Seleccione un valor de la lista</t>
        </r>
      </text>
    </comment>
    <comment ref="D1820" authorId="2" shapeId="0" xr:uid="{00000000-0006-0000-0100-000004080000}">
      <text>
        <r>
          <rPr>
            <sz val="11"/>
            <color theme="1"/>
            <rFont val="Calibri"/>
            <family val="2"/>
            <scheme val="minor"/>
          </rPr>
          <t>Introduzca un número con dos decimales como máximo. Debe ser igual o mayor a la "Cantidad Real Consumida"</t>
        </r>
      </text>
    </comment>
    <comment ref="E1820" authorId="2" shapeId="0" xr:uid="{00000000-0006-0000-0100-000005080000}">
      <text>
        <r>
          <rPr>
            <sz val="11"/>
            <color theme="1"/>
            <rFont val="Calibri"/>
            <family val="2"/>
            <scheme val="minor"/>
          </rPr>
          <t>Introduzca un número con dos decimales como máximo</t>
        </r>
      </text>
    </comment>
    <comment ref="F1820" authorId="2" shapeId="0" xr:uid="{00000000-0006-0000-0100-000006080000}">
      <text>
        <r>
          <rPr>
            <sz val="11"/>
            <color theme="1"/>
            <rFont val="Calibri"/>
            <family val="2"/>
            <scheme val="minor"/>
          </rPr>
          <t>Monto calculado automáticamente por el sistema</t>
        </r>
      </text>
    </comment>
    <comment ref="A1826" authorId="2" shapeId="0" xr:uid="{00000000-0006-0000-0100-000007080000}">
      <text>
        <r>
          <rPr>
            <sz val="11"/>
            <color theme="1"/>
            <rFont val="Calibri"/>
            <family val="2"/>
            <scheme val="minor"/>
          </rPr>
          <t>Introducir un texto con el nombre o referencia de la contratación</t>
        </r>
      </text>
    </comment>
    <comment ref="B1826" authorId="2" shapeId="0" xr:uid="{00000000-0006-0000-0100-000008080000}">
      <text>
        <r>
          <rPr>
            <sz val="11"/>
            <color theme="1"/>
            <rFont val="Calibri"/>
            <family val="2"/>
            <scheme val="minor"/>
          </rPr>
          <t>Introduzca un texto con la finalidad de la contratación</t>
        </r>
      </text>
    </comment>
    <comment ref="C1826" authorId="2" shapeId="0" xr:uid="{00000000-0006-0000-0100-000009080000}">
      <text>
        <r>
          <rPr>
            <sz val="11"/>
            <color theme="1"/>
            <rFont val="Calibri"/>
            <family val="2"/>
            <scheme val="minor"/>
          </rPr>
          <t>Seleccionar un valor del listado</t>
        </r>
      </text>
    </comment>
    <comment ref="D1826" authorId="2" shapeId="0" xr:uid="{00000000-0006-0000-0100-00000A080000}">
      <text>
        <r>
          <rPr>
            <sz val="11"/>
            <color theme="1"/>
            <rFont val="Calibri"/>
            <family val="2"/>
            <scheme val="minor"/>
          </rPr>
          <t>Seleccione el tipo de procedimiento</t>
        </r>
      </text>
    </comment>
    <comment ref="E1826" authorId="2" shapeId="0" xr:uid="{00000000-0006-0000-0100-00000B080000}">
      <text>
        <r>
          <rPr>
            <sz val="11"/>
            <color theme="1"/>
            <rFont val="Calibri"/>
            <family val="2"/>
            <scheme val="minor"/>
          </rPr>
          <t>Seleccione un valor de la lista</t>
        </r>
      </text>
    </comment>
    <comment ref="F1826" authorId="2" shapeId="0" xr:uid="{00000000-0006-0000-0100-00000C080000}">
      <text>
        <r>
          <rPr>
            <sz val="11"/>
            <color theme="1"/>
            <rFont val="Calibri"/>
            <family val="2"/>
            <scheme val="minor"/>
          </rPr>
          <t>Introduzca el código SNIP</t>
        </r>
      </text>
    </comment>
    <comment ref="C1827" authorId="2" shapeId="0" xr:uid="{00000000-0006-0000-0100-00000D080000}">
      <text>
        <r>
          <rPr>
            <sz val="11"/>
            <color theme="1"/>
            <rFont val="Calibri"/>
            <family val="2"/>
            <scheme val="minor"/>
          </rPr>
          <t>Introduzca la fecha de inicio del proceso, en formato dd-mm-aaaa</t>
        </r>
      </text>
    </comment>
    <comment ref="F1827" authorId="2"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shapeId="0" xr:uid="{00000000-0006-0000-0100-00000F080000}">
      <text/>
    </comment>
    <comment ref="C1829" authorId="2" shapeId="0" xr:uid="{00000000-0006-0000-0100-000010080000}">
      <text>
        <r>
          <rPr>
            <sz val="11"/>
            <color theme="1"/>
            <rFont val="Calibri"/>
            <family val="2"/>
            <scheme val="minor"/>
          </rPr>
          <t>Introduzca la fecha prevista de adjudicación, en formato dd-mm-aaaa</t>
        </r>
      </text>
    </comment>
    <comment ref="F1829" authorId="2" shapeId="0" xr:uid="{00000000-0006-0000-0100-000011080000}">
      <text/>
    </comment>
    <comment ref="F1830" authorId="2" shapeId="0" xr:uid="{00000000-0006-0000-0100-000012080000}">
      <text/>
    </comment>
    <comment ref="A1832" authorId="2" shapeId="0" xr:uid="{00000000-0006-0000-0100-000013080000}">
      <text>
        <r>
          <rPr>
            <sz val="11"/>
            <color theme="1"/>
            <rFont val="Calibri"/>
            <family val="2"/>
            <scheme val="minor"/>
          </rPr>
          <t>Introduzca un codigo UNSPSC</t>
        </r>
      </text>
    </comment>
    <comment ref="B1832" authorId="2" shapeId="0" xr:uid="{00000000-0006-0000-0100-000014080000}">
      <text>
        <r>
          <rPr>
            <sz val="11"/>
            <color theme="1"/>
            <rFont val="Calibri"/>
            <family val="2"/>
            <scheme val="minor"/>
          </rPr>
          <t>Descripción calculada automáticamente a partir de código del artículo</t>
        </r>
      </text>
    </comment>
    <comment ref="C1832" authorId="2" shapeId="0" xr:uid="{00000000-0006-0000-0100-000015080000}">
      <text>
        <r>
          <rPr>
            <sz val="11"/>
            <color theme="1"/>
            <rFont val="Calibri"/>
            <family val="2"/>
            <scheme val="minor"/>
          </rPr>
          <t>Seleccione un valor de la lista</t>
        </r>
      </text>
    </comment>
    <comment ref="D1832" authorId="2" shapeId="0" xr:uid="{00000000-0006-0000-0100-000016080000}">
      <text>
        <r>
          <rPr>
            <sz val="11"/>
            <color theme="1"/>
            <rFont val="Calibri"/>
            <family val="2"/>
            <scheme val="minor"/>
          </rPr>
          <t>Introduzca un número con dos decimales como máximo. Debe ser igual o mayor a la "Cantidad Real Consumida"</t>
        </r>
      </text>
    </comment>
    <comment ref="E1832" authorId="2" shapeId="0" xr:uid="{00000000-0006-0000-0100-000017080000}">
      <text>
        <r>
          <rPr>
            <sz val="11"/>
            <color theme="1"/>
            <rFont val="Calibri"/>
            <family val="2"/>
            <scheme val="minor"/>
          </rPr>
          <t>Introduzca un número con dos decimales como máximo</t>
        </r>
      </text>
    </comment>
    <comment ref="F1832" authorId="2" shapeId="0" xr:uid="{00000000-0006-0000-0100-000018080000}">
      <text>
        <r>
          <rPr>
            <sz val="11"/>
            <color theme="1"/>
            <rFont val="Calibri"/>
            <family val="2"/>
            <scheme val="minor"/>
          </rPr>
          <t>Monto calculado automáticamente por el sistema</t>
        </r>
      </text>
    </comment>
    <comment ref="A1838" authorId="2" shapeId="0" xr:uid="{00000000-0006-0000-0100-000019080000}">
      <text>
        <r>
          <rPr>
            <sz val="11"/>
            <color theme="1"/>
            <rFont val="Calibri"/>
            <family val="2"/>
            <scheme val="minor"/>
          </rPr>
          <t>Introducir un texto con el nombre o referencia de la contratación</t>
        </r>
      </text>
    </comment>
    <comment ref="B1838" authorId="2" shapeId="0" xr:uid="{00000000-0006-0000-0100-00001A080000}">
      <text>
        <r>
          <rPr>
            <sz val="11"/>
            <color theme="1"/>
            <rFont val="Calibri"/>
            <family val="2"/>
            <scheme val="minor"/>
          </rPr>
          <t>Introduzca un texto con la finalidad de la contratación</t>
        </r>
      </text>
    </comment>
    <comment ref="C1838" authorId="2" shapeId="0" xr:uid="{00000000-0006-0000-0100-00001B080000}">
      <text>
        <r>
          <rPr>
            <sz val="11"/>
            <color theme="1"/>
            <rFont val="Calibri"/>
            <family val="2"/>
            <scheme val="minor"/>
          </rPr>
          <t>Seleccionar un valor del listado</t>
        </r>
      </text>
    </comment>
    <comment ref="D1838" authorId="2" shapeId="0" xr:uid="{00000000-0006-0000-0100-00001C080000}">
      <text>
        <r>
          <rPr>
            <sz val="11"/>
            <color theme="1"/>
            <rFont val="Calibri"/>
            <family val="2"/>
            <scheme val="minor"/>
          </rPr>
          <t>Seleccione el tipo de procedimiento</t>
        </r>
      </text>
    </comment>
    <comment ref="E1838" authorId="2" shapeId="0" xr:uid="{00000000-0006-0000-0100-00001D080000}">
      <text>
        <r>
          <rPr>
            <sz val="11"/>
            <color theme="1"/>
            <rFont val="Calibri"/>
            <family val="2"/>
            <scheme val="minor"/>
          </rPr>
          <t>Seleccione un valor de la lista</t>
        </r>
      </text>
    </comment>
    <comment ref="F1838" authorId="2" shapeId="0" xr:uid="{00000000-0006-0000-0100-00001E080000}">
      <text>
        <r>
          <rPr>
            <sz val="11"/>
            <color theme="1"/>
            <rFont val="Calibri"/>
            <family val="2"/>
            <scheme val="minor"/>
          </rPr>
          <t>Introduzca el código SNIP</t>
        </r>
      </text>
    </comment>
    <comment ref="C1839" authorId="2" shapeId="0" xr:uid="{00000000-0006-0000-0100-00001F080000}">
      <text>
        <r>
          <rPr>
            <sz val="11"/>
            <color theme="1"/>
            <rFont val="Calibri"/>
            <family val="2"/>
            <scheme val="minor"/>
          </rPr>
          <t>Introduzca la fecha de inicio del proceso, en formato dd-mm-aaaa</t>
        </r>
      </text>
    </comment>
    <comment ref="F1839" authorId="2"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shapeId="0" xr:uid="{00000000-0006-0000-0100-000021080000}">
      <text/>
    </comment>
    <comment ref="C1841" authorId="2" shapeId="0" xr:uid="{00000000-0006-0000-0100-000022080000}">
      <text>
        <r>
          <rPr>
            <sz val="11"/>
            <color theme="1"/>
            <rFont val="Calibri"/>
            <family val="2"/>
            <scheme val="minor"/>
          </rPr>
          <t>Introduzca la fecha prevista de adjudicación, en formato dd-mm-aaaa</t>
        </r>
      </text>
    </comment>
    <comment ref="F1841" authorId="2" shapeId="0" xr:uid="{00000000-0006-0000-0100-000023080000}">
      <text/>
    </comment>
    <comment ref="F1842" authorId="2" shapeId="0" xr:uid="{00000000-0006-0000-0100-000024080000}">
      <text/>
    </comment>
    <comment ref="A1844" authorId="2" shapeId="0" xr:uid="{00000000-0006-0000-0100-000025080000}">
      <text>
        <r>
          <rPr>
            <sz val="11"/>
            <color theme="1"/>
            <rFont val="Calibri"/>
            <family val="2"/>
            <scheme val="minor"/>
          </rPr>
          <t>Introduzca un codigo UNSPSC</t>
        </r>
      </text>
    </comment>
    <comment ref="B1844" authorId="2" shapeId="0" xr:uid="{00000000-0006-0000-0100-000026080000}">
      <text>
        <r>
          <rPr>
            <sz val="11"/>
            <color theme="1"/>
            <rFont val="Calibri"/>
            <family val="2"/>
            <scheme val="minor"/>
          </rPr>
          <t>Descripción calculada automáticamente a partir de código del artículo</t>
        </r>
      </text>
    </comment>
    <comment ref="C1844" authorId="2" shapeId="0" xr:uid="{00000000-0006-0000-0100-000027080000}">
      <text>
        <r>
          <rPr>
            <sz val="11"/>
            <color theme="1"/>
            <rFont val="Calibri"/>
            <family val="2"/>
            <scheme val="minor"/>
          </rPr>
          <t>Seleccione un valor de la lista</t>
        </r>
      </text>
    </comment>
    <comment ref="D1844" authorId="2" shapeId="0" xr:uid="{00000000-0006-0000-0100-000028080000}">
      <text>
        <r>
          <rPr>
            <sz val="11"/>
            <color theme="1"/>
            <rFont val="Calibri"/>
            <family val="2"/>
            <scheme val="minor"/>
          </rPr>
          <t>Introduzca un número con dos decimales como máximo. Debe ser igual o mayor a la "Cantidad Real Consumida"</t>
        </r>
      </text>
    </comment>
    <comment ref="E1844" authorId="2" shapeId="0" xr:uid="{00000000-0006-0000-0100-000029080000}">
      <text>
        <r>
          <rPr>
            <sz val="11"/>
            <color theme="1"/>
            <rFont val="Calibri"/>
            <family val="2"/>
            <scheme val="minor"/>
          </rPr>
          <t>Introduzca un número con dos decimales como máximo</t>
        </r>
      </text>
    </comment>
    <comment ref="F1844" authorId="2" shapeId="0" xr:uid="{00000000-0006-0000-0100-00002A080000}">
      <text>
        <r>
          <rPr>
            <sz val="11"/>
            <color theme="1"/>
            <rFont val="Calibri"/>
            <family val="2"/>
            <scheme val="minor"/>
          </rPr>
          <t>Monto calculado automáticamente por el sistema</t>
        </r>
      </text>
    </comment>
    <comment ref="A1863" authorId="2" shapeId="0" xr:uid="{00000000-0006-0000-0100-00002B080000}">
      <text>
        <r>
          <rPr>
            <sz val="11"/>
            <color theme="1"/>
            <rFont val="Calibri"/>
            <family val="2"/>
            <scheme val="minor"/>
          </rPr>
          <t>Introducir un texto con el nombre o referencia de la contratación</t>
        </r>
      </text>
    </comment>
    <comment ref="B1863" authorId="2" shapeId="0" xr:uid="{00000000-0006-0000-0100-00002C080000}">
      <text>
        <r>
          <rPr>
            <sz val="11"/>
            <color theme="1"/>
            <rFont val="Calibri"/>
            <family val="2"/>
            <scheme val="minor"/>
          </rPr>
          <t>Introduzca un texto con la finalidad de la contratación</t>
        </r>
      </text>
    </comment>
    <comment ref="C1863" authorId="2" shapeId="0" xr:uid="{00000000-0006-0000-0100-00002D080000}">
      <text>
        <r>
          <rPr>
            <sz val="11"/>
            <color theme="1"/>
            <rFont val="Calibri"/>
            <family val="2"/>
            <scheme val="minor"/>
          </rPr>
          <t>Seleccionar un valor del listado</t>
        </r>
      </text>
    </comment>
    <comment ref="D1863" authorId="2" shapeId="0" xr:uid="{00000000-0006-0000-0100-00002E080000}">
      <text>
        <r>
          <rPr>
            <sz val="11"/>
            <color theme="1"/>
            <rFont val="Calibri"/>
            <family val="2"/>
            <scheme val="minor"/>
          </rPr>
          <t>Seleccione el tipo de procedimiento</t>
        </r>
      </text>
    </comment>
    <comment ref="E1863" authorId="2" shapeId="0" xr:uid="{00000000-0006-0000-0100-00002F080000}">
      <text>
        <r>
          <rPr>
            <sz val="11"/>
            <color theme="1"/>
            <rFont val="Calibri"/>
            <family val="2"/>
            <scheme val="minor"/>
          </rPr>
          <t>Seleccione un valor de la lista</t>
        </r>
      </text>
    </comment>
    <comment ref="F1863" authorId="2" shapeId="0" xr:uid="{00000000-0006-0000-0100-000030080000}">
      <text>
        <r>
          <rPr>
            <sz val="11"/>
            <color theme="1"/>
            <rFont val="Calibri"/>
            <family val="2"/>
            <scheme val="minor"/>
          </rPr>
          <t>Introduzca el código SNIP</t>
        </r>
      </text>
    </comment>
    <comment ref="C1864" authorId="2" shapeId="0" xr:uid="{00000000-0006-0000-0100-000031080000}">
      <text>
        <r>
          <rPr>
            <sz val="11"/>
            <color theme="1"/>
            <rFont val="Calibri"/>
            <family val="2"/>
            <scheme val="minor"/>
          </rPr>
          <t>Introduzca la fecha de inicio del proceso, en formato dd-mm-aaaa</t>
        </r>
      </text>
    </comment>
    <comment ref="F1864" authorId="2"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5" authorId="2" shapeId="0" xr:uid="{00000000-0006-0000-0100-000033080000}">
      <text/>
    </comment>
    <comment ref="C1866" authorId="2" shapeId="0" xr:uid="{00000000-0006-0000-0100-000034080000}">
      <text>
        <r>
          <rPr>
            <sz val="11"/>
            <color theme="1"/>
            <rFont val="Calibri"/>
            <family val="2"/>
            <scheme val="minor"/>
          </rPr>
          <t>Introduzca la fecha prevista de adjudicación, en formato dd-mm-aaaa</t>
        </r>
      </text>
    </comment>
    <comment ref="F1866" authorId="2" shapeId="0" xr:uid="{00000000-0006-0000-0100-000035080000}">
      <text/>
    </comment>
    <comment ref="F1867" authorId="2" shapeId="0" xr:uid="{00000000-0006-0000-0100-000036080000}">
      <text/>
    </comment>
    <comment ref="A1869" authorId="2" shapeId="0" xr:uid="{00000000-0006-0000-0100-000037080000}">
      <text>
        <r>
          <rPr>
            <sz val="11"/>
            <color theme="1"/>
            <rFont val="Calibri"/>
            <family val="2"/>
            <scheme val="minor"/>
          </rPr>
          <t>Introduzca un codigo UNSPSC</t>
        </r>
      </text>
    </comment>
    <comment ref="B1869" authorId="2" shapeId="0" xr:uid="{00000000-0006-0000-0100-000038080000}">
      <text>
        <r>
          <rPr>
            <sz val="11"/>
            <color theme="1"/>
            <rFont val="Calibri"/>
            <family val="2"/>
            <scheme val="minor"/>
          </rPr>
          <t>Descripción calculada automáticamente a partir de código del artículo</t>
        </r>
      </text>
    </comment>
    <comment ref="C1869" authorId="2" shapeId="0" xr:uid="{00000000-0006-0000-0100-000039080000}">
      <text>
        <r>
          <rPr>
            <sz val="11"/>
            <color theme="1"/>
            <rFont val="Calibri"/>
            <family val="2"/>
            <scheme val="minor"/>
          </rPr>
          <t>Seleccione un valor de la lista</t>
        </r>
      </text>
    </comment>
    <comment ref="D1869" authorId="2" shapeId="0" xr:uid="{00000000-0006-0000-0100-00003A080000}">
      <text>
        <r>
          <rPr>
            <sz val="11"/>
            <color theme="1"/>
            <rFont val="Calibri"/>
            <family val="2"/>
            <scheme val="minor"/>
          </rPr>
          <t>Introduzca un número con dos decimales como máximo. Debe ser igual o mayor a la "Cantidad Real Consumida"</t>
        </r>
      </text>
    </comment>
    <comment ref="E1869" authorId="2" shapeId="0" xr:uid="{00000000-0006-0000-0100-00003B080000}">
      <text>
        <r>
          <rPr>
            <sz val="11"/>
            <color theme="1"/>
            <rFont val="Calibri"/>
            <family val="2"/>
            <scheme val="minor"/>
          </rPr>
          <t>Introduzca un número con dos decimales como máximo</t>
        </r>
      </text>
    </comment>
    <comment ref="F1869" authorId="2" shapeId="0" xr:uid="{00000000-0006-0000-0100-00003C080000}">
      <text>
        <r>
          <rPr>
            <sz val="11"/>
            <color theme="1"/>
            <rFont val="Calibri"/>
            <family val="2"/>
            <scheme val="minor"/>
          </rPr>
          <t>Monto calculado automáticamente por el sistema</t>
        </r>
      </text>
    </comment>
    <comment ref="A1888" authorId="2" shapeId="0" xr:uid="{00000000-0006-0000-0100-00003D080000}">
      <text>
        <r>
          <rPr>
            <sz val="11"/>
            <color theme="1"/>
            <rFont val="Calibri"/>
            <family val="2"/>
            <scheme val="minor"/>
          </rPr>
          <t>Introducir un texto con el nombre o referencia de la contratación</t>
        </r>
      </text>
    </comment>
    <comment ref="B1888" authorId="2" shapeId="0" xr:uid="{00000000-0006-0000-0100-00003E080000}">
      <text>
        <r>
          <rPr>
            <sz val="11"/>
            <color theme="1"/>
            <rFont val="Calibri"/>
            <family val="2"/>
            <scheme val="minor"/>
          </rPr>
          <t>Introduzca un texto con la finalidad de la contratación</t>
        </r>
      </text>
    </comment>
    <comment ref="C1888" authorId="2" shapeId="0" xr:uid="{00000000-0006-0000-0100-00003F080000}">
      <text>
        <r>
          <rPr>
            <sz val="11"/>
            <color theme="1"/>
            <rFont val="Calibri"/>
            <family val="2"/>
            <scheme val="minor"/>
          </rPr>
          <t>Seleccionar un valor del listado</t>
        </r>
      </text>
    </comment>
    <comment ref="D1888" authorId="2" shapeId="0" xr:uid="{00000000-0006-0000-0100-000040080000}">
      <text>
        <r>
          <rPr>
            <sz val="11"/>
            <color theme="1"/>
            <rFont val="Calibri"/>
            <family val="2"/>
            <scheme val="minor"/>
          </rPr>
          <t>Seleccione el tipo de procedimiento</t>
        </r>
      </text>
    </comment>
    <comment ref="E1888" authorId="2" shapeId="0" xr:uid="{00000000-0006-0000-0100-000041080000}">
      <text>
        <r>
          <rPr>
            <sz val="11"/>
            <color theme="1"/>
            <rFont val="Calibri"/>
            <family val="2"/>
            <scheme val="minor"/>
          </rPr>
          <t>Seleccione un valor de la lista</t>
        </r>
      </text>
    </comment>
    <comment ref="F1888" authorId="2" shapeId="0" xr:uid="{00000000-0006-0000-0100-000042080000}">
      <text>
        <r>
          <rPr>
            <sz val="11"/>
            <color theme="1"/>
            <rFont val="Calibri"/>
            <family val="2"/>
            <scheme val="minor"/>
          </rPr>
          <t>Introduzca el código SNIP</t>
        </r>
      </text>
    </comment>
    <comment ref="C1889" authorId="2" shapeId="0" xr:uid="{00000000-0006-0000-0100-000043080000}">
      <text>
        <r>
          <rPr>
            <sz val="11"/>
            <color theme="1"/>
            <rFont val="Calibri"/>
            <family val="2"/>
            <scheme val="minor"/>
          </rPr>
          <t>Introduzca la fecha de inicio del proceso, en formato dd-mm-aaaa</t>
        </r>
      </text>
    </comment>
    <comment ref="F1889" authorId="2"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0" authorId="2" shapeId="0" xr:uid="{00000000-0006-0000-0100-000045080000}">
      <text/>
    </comment>
    <comment ref="C1891" authorId="2" shapeId="0" xr:uid="{00000000-0006-0000-0100-000046080000}">
      <text>
        <r>
          <rPr>
            <sz val="11"/>
            <color theme="1"/>
            <rFont val="Calibri"/>
            <family val="2"/>
            <scheme val="minor"/>
          </rPr>
          <t>Introduzca la fecha prevista de adjudicación, en formato dd-mm-aaaa</t>
        </r>
      </text>
    </comment>
    <comment ref="F1891" authorId="2" shapeId="0" xr:uid="{00000000-0006-0000-0100-000047080000}">
      <text/>
    </comment>
    <comment ref="F1892" authorId="2" shapeId="0" xr:uid="{00000000-0006-0000-0100-000048080000}">
      <text/>
    </comment>
    <comment ref="A1894" authorId="2" shapeId="0" xr:uid="{00000000-0006-0000-0100-000049080000}">
      <text>
        <r>
          <rPr>
            <sz val="11"/>
            <color theme="1"/>
            <rFont val="Calibri"/>
            <family val="2"/>
            <scheme val="minor"/>
          </rPr>
          <t>Introduzca un codigo UNSPSC</t>
        </r>
      </text>
    </comment>
    <comment ref="B1894" authorId="2" shapeId="0" xr:uid="{00000000-0006-0000-0100-00004A080000}">
      <text>
        <r>
          <rPr>
            <sz val="11"/>
            <color theme="1"/>
            <rFont val="Calibri"/>
            <family val="2"/>
            <scheme val="minor"/>
          </rPr>
          <t>Descripción calculada automáticamente a partir de código del artículo</t>
        </r>
      </text>
    </comment>
    <comment ref="C1894" authorId="2" shapeId="0" xr:uid="{00000000-0006-0000-0100-00004B080000}">
      <text>
        <r>
          <rPr>
            <sz val="11"/>
            <color theme="1"/>
            <rFont val="Calibri"/>
            <family val="2"/>
            <scheme val="minor"/>
          </rPr>
          <t>Seleccione un valor de la lista</t>
        </r>
      </text>
    </comment>
    <comment ref="D1894" authorId="2" shapeId="0" xr:uid="{00000000-0006-0000-0100-00004C080000}">
      <text>
        <r>
          <rPr>
            <sz val="11"/>
            <color theme="1"/>
            <rFont val="Calibri"/>
            <family val="2"/>
            <scheme val="minor"/>
          </rPr>
          <t>Introduzca un número con dos decimales como máximo. Debe ser igual o mayor a la "Cantidad Real Consumida"</t>
        </r>
      </text>
    </comment>
    <comment ref="E1894" authorId="2" shapeId="0" xr:uid="{00000000-0006-0000-0100-00004D080000}">
      <text>
        <r>
          <rPr>
            <sz val="11"/>
            <color theme="1"/>
            <rFont val="Calibri"/>
            <family val="2"/>
            <scheme val="minor"/>
          </rPr>
          <t>Introduzca un número con dos decimales como máximo</t>
        </r>
      </text>
    </comment>
    <comment ref="F1894" authorId="2" shapeId="0" xr:uid="{00000000-0006-0000-0100-00004E080000}">
      <text>
        <r>
          <rPr>
            <sz val="11"/>
            <color theme="1"/>
            <rFont val="Calibri"/>
            <family val="2"/>
            <scheme val="minor"/>
          </rPr>
          <t>Monto calculado automáticamente por el sistema</t>
        </r>
      </text>
    </comment>
    <comment ref="A1913" authorId="2" shapeId="0" xr:uid="{00000000-0006-0000-0100-00004F080000}">
      <text>
        <r>
          <rPr>
            <sz val="11"/>
            <color theme="1"/>
            <rFont val="Calibri"/>
            <family val="2"/>
            <scheme val="minor"/>
          </rPr>
          <t>Introducir un texto con el nombre o referencia de la contratación</t>
        </r>
      </text>
    </comment>
    <comment ref="B1913" authorId="2" shapeId="0" xr:uid="{00000000-0006-0000-0100-000050080000}">
      <text>
        <r>
          <rPr>
            <sz val="11"/>
            <color theme="1"/>
            <rFont val="Calibri"/>
            <family val="2"/>
            <scheme val="minor"/>
          </rPr>
          <t>Introduzca un texto con la finalidad de la contratación</t>
        </r>
      </text>
    </comment>
    <comment ref="C1913" authorId="2" shapeId="0" xr:uid="{00000000-0006-0000-0100-000051080000}">
      <text>
        <r>
          <rPr>
            <sz val="11"/>
            <color theme="1"/>
            <rFont val="Calibri"/>
            <family val="2"/>
            <scheme val="minor"/>
          </rPr>
          <t>Seleccionar un valor del listado</t>
        </r>
      </text>
    </comment>
    <comment ref="D1913" authorId="2" shapeId="0" xr:uid="{00000000-0006-0000-0100-000052080000}">
      <text>
        <r>
          <rPr>
            <sz val="11"/>
            <color theme="1"/>
            <rFont val="Calibri"/>
            <family val="2"/>
            <scheme val="minor"/>
          </rPr>
          <t>Seleccione el tipo de procedimiento</t>
        </r>
      </text>
    </comment>
    <comment ref="E1913" authorId="2" shapeId="0" xr:uid="{00000000-0006-0000-0100-000053080000}">
      <text>
        <r>
          <rPr>
            <sz val="11"/>
            <color theme="1"/>
            <rFont val="Calibri"/>
            <family val="2"/>
            <scheme val="minor"/>
          </rPr>
          <t>Seleccione un valor de la lista</t>
        </r>
      </text>
    </comment>
    <comment ref="F1913" authorId="2" shapeId="0" xr:uid="{00000000-0006-0000-0100-000054080000}">
      <text>
        <r>
          <rPr>
            <sz val="11"/>
            <color theme="1"/>
            <rFont val="Calibri"/>
            <family val="2"/>
            <scheme val="minor"/>
          </rPr>
          <t>Introduzca el código SNIP</t>
        </r>
      </text>
    </comment>
    <comment ref="C1914" authorId="2" shapeId="0" xr:uid="{00000000-0006-0000-0100-000055080000}">
      <text>
        <r>
          <rPr>
            <sz val="11"/>
            <color theme="1"/>
            <rFont val="Calibri"/>
            <family val="2"/>
            <scheme val="minor"/>
          </rPr>
          <t>Introduzca la fecha de inicio del proceso, en formato dd-mm-aaaa</t>
        </r>
      </text>
    </comment>
    <comment ref="F1914" authorId="2"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2" shapeId="0" xr:uid="{00000000-0006-0000-0100-000057080000}">
      <text/>
    </comment>
    <comment ref="C1916" authorId="2" shapeId="0" xr:uid="{00000000-0006-0000-0100-000058080000}">
      <text>
        <r>
          <rPr>
            <sz val="11"/>
            <color theme="1"/>
            <rFont val="Calibri"/>
            <family val="2"/>
            <scheme val="minor"/>
          </rPr>
          <t>Introduzca la fecha prevista de adjudicación, en formato dd-mm-aaaa</t>
        </r>
      </text>
    </comment>
    <comment ref="F1916" authorId="2" shapeId="0" xr:uid="{00000000-0006-0000-0100-000059080000}">
      <text/>
    </comment>
    <comment ref="F1917" authorId="2" shapeId="0" xr:uid="{00000000-0006-0000-0100-00005A080000}">
      <text/>
    </comment>
    <comment ref="A1919" authorId="2" shapeId="0" xr:uid="{00000000-0006-0000-0100-00005B080000}">
      <text>
        <r>
          <rPr>
            <sz val="11"/>
            <color theme="1"/>
            <rFont val="Calibri"/>
            <family val="2"/>
            <scheme val="minor"/>
          </rPr>
          <t>Introduzca un codigo UNSPSC</t>
        </r>
      </text>
    </comment>
    <comment ref="B1919" authorId="2" shapeId="0" xr:uid="{00000000-0006-0000-0100-00005C080000}">
      <text>
        <r>
          <rPr>
            <sz val="11"/>
            <color theme="1"/>
            <rFont val="Calibri"/>
            <family val="2"/>
            <scheme val="minor"/>
          </rPr>
          <t>Descripción calculada automáticamente a partir de código del artículo</t>
        </r>
      </text>
    </comment>
    <comment ref="C1919" authorId="2" shapeId="0" xr:uid="{00000000-0006-0000-0100-00005D080000}">
      <text>
        <r>
          <rPr>
            <sz val="11"/>
            <color theme="1"/>
            <rFont val="Calibri"/>
            <family val="2"/>
            <scheme val="minor"/>
          </rPr>
          <t>Seleccione un valor de la lista</t>
        </r>
      </text>
    </comment>
    <comment ref="D1919" authorId="2" shapeId="0" xr:uid="{00000000-0006-0000-0100-00005E080000}">
      <text>
        <r>
          <rPr>
            <sz val="11"/>
            <color theme="1"/>
            <rFont val="Calibri"/>
            <family val="2"/>
            <scheme val="minor"/>
          </rPr>
          <t>Introduzca un número con dos decimales como máximo. Debe ser igual o mayor a la "Cantidad Real Consumida"</t>
        </r>
      </text>
    </comment>
    <comment ref="E1919" authorId="2" shapeId="0" xr:uid="{00000000-0006-0000-0100-00005F080000}">
      <text>
        <r>
          <rPr>
            <sz val="11"/>
            <color theme="1"/>
            <rFont val="Calibri"/>
            <family val="2"/>
            <scheme val="minor"/>
          </rPr>
          <t>Introduzca un número con dos decimales como máximo</t>
        </r>
      </text>
    </comment>
    <comment ref="F1919" authorId="2" shapeId="0" xr:uid="{00000000-0006-0000-0100-000060080000}">
      <text>
        <r>
          <rPr>
            <sz val="11"/>
            <color theme="1"/>
            <rFont val="Calibri"/>
            <family val="2"/>
            <scheme val="minor"/>
          </rPr>
          <t>Monto calculado automáticamente por el sistema</t>
        </r>
      </text>
    </comment>
    <comment ref="A1938" authorId="2" shapeId="0" xr:uid="{00000000-0006-0000-0100-000061080000}">
      <text>
        <r>
          <rPr>
            <sz val="11"/>
            <color theme="1"/>
            <rFont val="Calibri"/>
            <family val="2"/>
            <scheme val="minor"/>
          </rPr>
          <t>Introducir un texto con el nombre o referencia de la contratación</t>
        </r>
      </text>
    </comment>
    <comment ref="B1938" authorId="2" shapeId="0" xr:uid="{00000000-0006-0000-0100-000062080000}">
      <text>
        <r>
          <rPr>
            <sz val="11"/>
            <color theme="1"/>
            <rFont val="Calibri"/>
            <family val="2"/>
            <scheme val="minor"/>
          </rPr>
          <t>Introduzca un texto con la finalidad de la contratación</t>
        </r>
      </text>
    </comment>
    <comment ref="C1938" authorId="2" shapeId="0" xr:uid="{00000000-0006-0000-0100-000063080000}">
      <text>
        <r>
          <rPr>
            <sz val="11"/>
            <color theme="1"/>
            <rFont val="Calibri"/>
            <family val="2"/>
            <scheme val="minor"/>
          </rPr>
          <t>Seleccionar un valor del listado</t>
        </r>
      </text>
    </comment>
    <comment ref="D1938" authorId="2" shapeId="0" xr:uid="{00000000-0006-0000-0100-000064080000}">
      <text>
        <r>
          <rPr>
            <sz val="11"/>
            <color theme="1"/>
            <rFont val="Calibri"/>
            <family val="2"/>
            <scheme val="minor"/>
          </rPr>
          <t>Seleccione el tipo de procedimiento</t>
        </r>
      </text>
    </comment>
    <comment ref="E1938" authorId="2" shapeId="0" xr:uid="{00000000-0006-0000-0100-000065080000}">
      <text>
        <r>
          <rPr>
            <sz val="11"/>
            <color theme="1"/>
            <rFont val="Calibri"/>
            <family val="2"/>
            <scheme val="minor"/>
          </rPr>
          <t>Seleccione un valor de la lista</t>
        </r>
      </text>
    </comment>
    <comment ref="F1938" authorId="2" shapeId="0" xr:uid="{00000000-0006-0000-0100-000066080000}">
      <text>
        <r>
          <rPr>
            <sz val="11"/>
            <color theme="1"/>
            <rFont val="Calibri"/>
            <family val="2"/>
            <scheme val="minor"/>
          </rPr>
          <t>Introduzca el código SNIP</t>
        </r>
      </text>
    </comment>
    <comment ref="C1939" authorId="2" shapeId="0" xr:uid="{00000000-0006-0000-0100-000067080000}">
      <text>
        <r>
          <rPr>
            <sz val="11"/>
            <color theme="1"/>
            <rFont val="Calibri"/>
            <family val="2"/>
            <scheme val="minor"/>
          </rPr>
          <t>Introduzca la fecha de inicio del proceso, en formato dd-mm-aaaa</t>
        </r>
      </text>
    </comment>
    <comment ref="F1939" authorId="2"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0" authorId="2" shapeId="0" xr:uid="{00000000-0006-0000-0100-000069080000}">
      <text/>
    </comment>
    <comment ref="C1941" authorId="2" shapeId="0" xr:uid="{00000000-0006-0000-0100-00006A080000}">
      <text>
        <r>
          <rPr>
            <sz val="11"/>
            <color theme="1"/>
            <rFont val="Calibri"/>
            <family val="2"/>
            <scheme val="minor"/>
          </rPr>
          <t>Introduzca la fecha prevista de adjudicación, en formato dd-mm-aaaa</t>
        </r>
      </text>
    </comment>
    <comment ref="F1941" authorId="2" shapeId="0" xr:uid="{00000000-0006-0000-0100-00006B080000}">
      <text/>
    </comment>
    <comment ref="F1942" authorId="2" shapeId="0" xr:uid="{00000000-0006-0000-0100-00006C080000}">
      <text/>
    </comment>
    <comment ref="A1944" authorId="2" shapeId="0" xr:uid="{00000000-0006-0000-0100-00006D080000}">
      <text>
        <r>
          <rPr>
            <sz val="11"/>
            <color theme="1"/>
            <rFont val="Calibri"/>
            <family val="2"/>
            <scheme val="minor"/>
          </rPr>
          <t>Introduzca un codigo UNSPSC</t>
        </r>
      </text>
    </comment>
    <comment ref="B1944" authorId="2" shapeId="0" xr:uid="{00000000-0006-0000-0100-00006E080000}">
      <text>
        <r>
          <rPr>
            <sz val="11"/>
            <color theme="1"/>
            <rFont val="Calibri"/>
            <family val="2"/>
            <scheme val="minor"/>
          </rPr>
          <t>Descripción calculada automáticamente a partir de código del artículo</t>
        </r>
      </text>
    </comment>
    <comment ref="C1944" authorId="2" shapeId="0" xr:uid="{00000000-0006-0000-0100-00006F080000}">
      <text>
        <r>
          <rPr>
            <sz val="11"/>
            <color theme="1"/>
            <rFont val="Calibri"/>
            <family val="2"/>
            <scheme val="minor"/>
          </rPr>
          <t>Seleccione un valor de la lista</t>
        </r>
      </text>
    </comment>
    <comment ref="D1944" authorId="2" shapeId="0" xr:uid="{00000000-0006-0000-0100-000070080000}">
      <text>
        <r>
          <rPr>
            <sz val="11"/>
            <color theme="1"/>
            <rFont val="Calibri"/>
            <family val="2"/>
            <scheme val="minor"/>
          </rPr>
          <t>Introduzca un número con dos decimales como máximo. Debe ser igual o mayor a la "Cantidad Real Consumida"</t>
        </r>
      </text>
    </comment>
    <comment ref="E1944" authorId="2" shapeId="0" xr:uid="{00000000-0006-0000-0100-000071080000}">
      <text>
        <r>
          <rPr>
            <sz val="11"/>
            <color theme="1"/>
            <rFont val="Calibri"/>
            <family val="2"/>
            <scheme val="minor"/>
          </rPr>
          <t>Introduzca un número con dos decimales como máximo</t>
        </r>
      </text>
    </comment>
    <comment ref="F1944" authorId="2" shapeId="0" xr:uid="{00000000-0006-0000-0100-000072080000}">
      <text>
        <r>
          <rPr>
            <sz val="11"/>
            <color theme="1"/>
            <rFont val="Calibri"/>
            <family val="2"/>
            <scheme val="minor"/>
          </rPr>
          <t>Monto calculado automáticamente por el sistema</t>
        </r>
      </text>
    </comment>
    <comment ref="A1951" authorId="2" shapeId="0" xr:uid="{00000000-0006-0000-0100-000073080000}">
      <text>
        <r>
          <rPr>
            <sz val="11"/>
            <color theme="1"/>
            <rFont val="Calibri"/>
            <family val="2"/>
            <scheme val="minor"/>
          </rPr>
          <t>Introducir un texto con el nombre o referencia de la contratación</t>
        </r>
      </text>
    </comment>
    <comment ref="B1951" authorId="2" shapeId="0" xr:uid="{00000000-0006-0000-0100-000074080000}">
      <text>
        <r>
          <rPr>
            <sz val="11"/>
            <color theme="1"/>
            <rFont val="Calibri"/>
            <family val="2"/>
            <scheme val="minor"/>
          </rPr>
          <t>Introduzca un texto con la finalidad de la contratación</t>
        </r>
      </text>
    </comment>
    <comment ref="C1951" authorId="2" shapeId="0" xr:uid="{00000000-0006-0000-0100-000075080000}">
      <text>
        <r>
          <rPr>
            <sz val="11"/>
            <color theme="1"/>
            <rFont val="Calibri"/>
            <family val="2"/>
            <scheme val="minor"/>
          </rPr>
          <t>Seleccionar un valor del listado</t>
        </r>
      </text>
    </comment>
    <comment ref="D1951" authorId="2" shapeId="0" xr:uid="{00000000-0006-0000-0100-000076080000}">
      <text>
        <r>
          <rPr>
            <sz val="11"/>
            <color theme="1"/>
            <rFont val="Calibri"/>
            <family val="2"/>
            <scheme val="minor"/>
          </rPr>
          <t>Seleccione el tipo de procedimiento</t>
        </r>
      </text>
    </comment>
    <comment ref="E1951" authorId="2" shapeId="0" xr:uid="{00000000-0006-0000-0100-000077080000}">
      <text>
        <r>
          <rPr>
            <sz val="11"/>
            <color theme="1"/>
            <rFont val="Calibri"/>
            <family val="2"/>
            <scheme val="minor"/>
          </rPr>
          <t>Seleccione un valor de la lista</t>
        </r>
      </text>
    </comment>
    <comment ref="F1951" authorId="2" shapeId="0" xr:uid="{00000000-0006-0000-0100-000078080000}">
      <text>
        <r>
          <rPr>
            <sz val="11"/>
            <color theme="1"/>
            <rFont val="Calibri"/>
            <family val="2"/>
            <scheme val="minor"/>
          </rPr>
          <t>Introduzca el código SNIP</t>
        </r>
      </text>
    </comment>
    <comment ref="C1952" authorId="2" shapeId="0" xr:uid="{00000000-0006-0000-0100-000079080000}">
      <text>
        <r>
          <rPr>
            <sz val="11"/>
            <color theme="1"/>
            <rFont val="Calibri"/>
            <family val="2"/>
            <scheme val="minor"/>
          </rPr>
          <t>Introduzca la fecha de inicio del proceso, en formato dd-mm-aaaa</t>
        </r>
      </text>
    </comment>
    <comment ref="F1952" authorId="2"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2" shapeId="0" xr:uid="{00000000-0006-0000-0100-00007B080000}">
      <text/>
    </comment>
    <comment ref="C1954" authorId="2" shapeId="0" xr:uid="{00000000-0006-0000-0100-00007C080000}">
      <text>
        <r>
          <rPr>
            <sz val="11"/>
            <color theme="1"/>
            <rFont val="Calibri"/>
            <family val="2"/>
            <scheme val="minor"/>
          </rPr>
          <t>Introduzca la fecha prevista de adjudicación, en formato dd-mm-aaaa</t>
        </r>
      </text>
    </comment>
    <comment ref="F1954" authorId="2" shapeId="0" xr:uid="{00000000-0006-0000-0100-00007D080000}">
      <text/>
    </comment>
    <comment ref="F1955" authorId="2" shapeId="0" xr:uid="{00000000-0006-0000-0100-00007E080000}">
      <text/>
    </comment>
    <comment ref="A1957" authorId="2" shapeId="0" xr:uid="{00000000-0006-0000-0100-00007F080000}">
      <text>
        <r>
          <rPr>
            <sz val="11"/>
            <color theme="1"/>
            <rFont val="Calibri"/>
            <family val="2"/>
            <scheme val="minor"/>
          </rPr>
          <t>Introduzca un codigo UNSPSC</t>
        </r>
      </text>
    </comment>
    <comment ref="B1957" authorId="2" shapeId="0" xr:uid="{00000000-0006-0000-0100-000080080000}">
      <text>
        <r>
          <rPr>
            <sz val="11"/>
            <color theme="1"/>
            <rFont val="Calibri"/>
            <family val="2"/>
            <scheme val="minor"/>
          </rPr>
          <t>Descripción calculada automáticamente a partir de código del artículo</t>
        </r>
      </text>
    </comment>
    <comment ref="C1957" authorId="2" shapeId="0" xr:uid="{00000000-0006-0000-0100-000081080000}">
      <text>
        <r>
          <rPr>
            <sz val="11"/>
            <color theme="1"/>
            <rFont val="Calibri"/>
            <family val="2"/>
            <scheme val="minor"/>
          </rPr>
          <t>Seleccione un valor de la lista</t>
        </r>
      </text>
    </comment>
    <comment ref="D1957" authorId="2" shapeId="0" xr:uid="{00000000-0006-0000-0100-000082080000}">
      <text>
        <r>
          <rPr>
            <sz val="11"/>
            <color theme="1"/>
            <rFont val="Calibri"/>
            <family val="2"/>
            <scheme val="minor"/>
          </rPr>
          <t>Introduzca un número con dos decimales como máximo. Debe ser igual o mayor a la "Cantidad Real Consumida"</t>
        </r>
      </text>
    </comment>
    <comment ref="E1957" authorId="2" shapeId="0" xr:uid="{00000000-0006-0000-0100-000083080000}">
      <text>
        <r>
          <rPr>
            <sz val="11"/>
            <color theme="1"/>
            <rFont val="Calibri"/>
            <family val="2"/>
            <scheme val="minor"/>
          </rPr>
          <t>Introduzca un número con dos decimales como máximo</t>
        </r>
      </text>
    </comment>
    <comment ref="F1957" authorId="2" shapeId="0" xr:uid="{00000000-0006-0000-0100-000084080000}">
      <text>
        <r>
          <rPr>
            <sz val="11"/>
            <color theme="1"/>
            <rFont val="Calibri"/>
            <family val="2"/>
            <scheme val="minor"/>
          </rPr>
          <t>Monto calculado automáticamente por el sistema</t>
        </r>
      </text>
    </comment>
    <comment ref="A1964" authorId="2" shapeId="0" xr:uid="{00000000-0006-0000-0100-000085080000}">
      <text>
        <r>
          <rPr>
            <sz val="11"/>
            <color theme="1"/>
            <rFont val="Calibri"/>
            <family val="2"/>
            <scheme val="minor"/>
          </rPr>
          <t>Introducir un texto con el nombre o referencia de la contratación</t>
        </r>
      </text>
    </comment>
    <comment ref="B1964" authorId="2" shapeId="0" xr:uid="{00000000-0006-0000-0100-000086080000}">
      <text>
        <r>
          <rPr>
            <sz val="11"/>
            <color theme="1"/>
            <rFont val="Calibri"/>
            <family val="2"/>
            <scheme val="minor"/>
          </rPr>
          <t>Introduzca un texto con la finalidad de la contratación</t>
        </r>
      </text>
    </comment>
    <comment ref="C1964" authorId="2" shapeId="0" xr:uid="{00000000-0006-0000-0100-000087080000}">
      <text>
        <r>
          <rPr>
            <sz val="11"/>
            <color theme="1"/>
            <rFont val="Calibri"/>
            <family val="2"/>
            <scheme val="minor"/>
          </rPr>
          <t>Seleccionar un valor del listado</t>
        </r>
      </text>
    </comment>
    <comment ref="D1964" authorId="2" shapeId="0" xr:uid="{00000000-0006-0000-0100-000088080000}">
      <text>
        <r>
          <rPr>
            <sz val="11"/>
            <color theme="1"/>
            <rFont val="Calibri"/>
            <family val="2"/>
            <scheme val="minor"/>
          </rPr>
          <t>Seleccione el tipo de procedimiento</t>
        </r>
      </text>
    </comment>
    <comment ref="E1964" authorId="2" shapeId="0" xr:uid="{00000000-0006-0000-0100-000089080000}">
      <text>
        <r>
          <rPr>
            <sz val="11"/>
            <color theme="1"/>
            <rFont val="Calibri"/>
            <family val="2"/>
            <scheme val="minor"/>
          </rPr>
          <t>Seleccione un valor de la lista</t>
        </r>
      </text>
    </comment>
    <comment ref="F1964" authorId="2" shapeId="0" xr:uid="{00000000-0006-0000-0100-00008A080000}">
      <text>
        <r>
          <rPr>
            <sz val="11"/>
            <color theme="1"/>
            <rFont val="Calibri"/>
            <family val="2"/>
            <scheme val="minor"/>
          </rPr>
          <t>Introduzca el código SNIP</t>
        </r>
      </text>
    </comment>
    <comment ref="C1965" authorId="2" shapeId="0" xr:uid="{00000000-0006-0000-0100-00008B080000}">
      <text>
        <r>
          <rPr>
            <sz val="11"/>
            <color theme="1"/>
            <rFont val="Calibri"/>
            <family val="2"/>
            <scheme val="minor"/>
          </rPr>
          <t>Introduzca la fecha de inicio del proceso, en formato dd-mm-aaaa</t>
        </r>
      </text>
    </comment>
    <comment ref="F1965" authorId="2"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2" shapeId="0" xr:uid="{00000000-0006-0000-0100-00008D080000}">
      <text/>
    </comment>
    <comment ref="C1967" authorId="2" shapeId="0" xr:uid="{00000000-0006-0000-0100-00008E080000}">
      <text>
        <r>
          <rPr>
            <sz val="11"/>
            <color theme="1"/>
            <rFont val="Calibri"/>
            <family val="2"/>
            <scheme val="minor"/>
          </rPr>
          <t>Introduzca la fecha prevista de adjudicación, en formato dd-mm-aaaa</t>
        </r>
      </text>
    </comment>
    <comment ref="F1967" authorId="2" shapeId="0" xr:uid="{00000000-0006-0000-0100-00008F080000}">
      <text/>
    </comment>
    <comment ref="F1968" authorId="2" shapeId="0" xr:uid="{00000000-0006-0000-0100-000090080000}">
      <text/>
    </comment>
    <comment ref="A1970" authorId="2" shapeId="0" xr:uid="{00000000-0006-0000-0100-000091080000}">
      <text>
        <r>
          <rPr>
            <sz val="11"/>
            <color theme="1"/>
            <rFont val="Calibri"/>
            <family val="2"/>
            <scheme val="minor"/>
          </rPr>
          <t>Introduzca un codigo UNSPSC</t>
        </r>
      </text>
    </comment>
    <comment ref="B1970" authorId="2" shapeId="0" xr:uid="{00000000-0006-0000-0100-000092080000}">
      <text>
        <r>
          <rPr>
            <sz val="11"/>
            <color theme="1"/>
            <rFont val="Calibri"/>
            <family val="2"/>
            <scheme val="minor"/>
          </rPr>
          <t>Descripción calculada automáticamente a partir de código del artículo</t>
        </r>
      </text>
    </comment>
    <comment ref="C1970" authorId="2" shapeId="0" xr:uid="{00000000-0006-0000-0100-000093080000}">
      <text>
        <r>
          <rPr>
            <sz val="11"/>
            <color theme="1"/>
            <rFont val="Calibri"/>
            <family val="2"/>
            <scheme val="minor"/>
          </rPr>
          <t>Seleccione un valor de la lista</t>
        </r>
      </text>
    </comment>
    <comment ref="D1970" authorId="2" shapeId="0" xr:uid="{00000000-0006-0000-0100-000094080000}">
      <text>
        <r>
          <rPr>
            <sz val="11"/>
            <color theme="1"/>
            <rFont val="Calibri"/>
            <family val="2"/>
            <scheme val="minor"/>
          </rPr>
          <t>Introduzca un número con dos decimales como máximo. Debe ser igual o mayor a la "Cantidad Real Consumida"</t>
        </r>
      </text>
    </comment>
    <comment ref="E1970" authorId="2" shapeId="0" xr:uid="{00000000-0006-0000-0100-000095080000}">
      <text>
        <r>
          <rPr>
            <sz val="11"/>
            <color theme="1"/>
            <rFont val="Calibri"/>
            <family val="2"/>
            <scheme val="minor"/>
          </rPr>
          <t>Introduzca un número con dos decimales como máximo</t>
        </r>
      </text>
    </comment>
    <comment ref="F1970" authorId="2" shapeId="0" xr:uid="{00000000-0006-0000-0100-000096080000}">
      <text>
        <r>
          <rPr>
            <sz val="11"/>
            <color theme="1"/>
            <rFont val="Calibri"/>
            <family val="2"/>
            <scheme val="minor"/>
          </rPr>
          <t>Monto calculado automáticamente por el sistema</t>
        </r>
      </text>
    </comment>
    <comment ref="A1977" authorId="2" shapeId="0" xr:uid="{00000000-0006-0000-0100-000097080000}">
      <text>
        <r>
          <rPr>
            <sz val="11"/>
            <color theme="1"/>
            <rFont val="Calibri"/>
            <family val="2"/>
            <scheme val="minor"/>
          </rPr>
          <t>Introducir un texto con el nombre o referencia de la contratación</t>
        </r>
      </text>
    </comment>
    <comment ref="B1977" authorId="2" shapeId="0" xr:uid="{00000000-0006-0000-0100-000098080000}">
      <text>
        <r>
          <rPr>
            <sz val="11"/>
            <color theme="1"/>
            <rFont val="Calibri"/>
            <family val="2"/>
            <scheme val="minor"/>
          </rPr>
          <t>Introduzca un texto con la finalidad de la contratación</t>
        </r>
      </text>
    </comment>
    <comment ref="C1977" authorId="2" shapeId="0" xr:uid="{00000000-0006-0000-0100-000099080000}">
      <text>
        <r>
          <rPr>
            <sz val="11"/>
            <color theme="1"/>
            <rFont val="Calibri"/>
            <family val="2"/>
            <scheme val="minor"/>
          </rPr>
          <t>Seleccionar un valor del listado</t>
        </r>
      </text>
    </comment>
    <comment ref="D1977" authorId="2" shapeId="0" xr:uid="{00000000-0006-0000-0100-00009A080000}">
      <text>
        <r>
          <rPr>
            <sz val="11"/>
            <color theme="1"/>
            <rFont val="Calibri"/>
            <family val="2"/>
            <scheme val="minor"/>
          </rPr>
          <t>Seleccione el tipo de procedimiento</t>
        </r>
      </text>
    </comment>
    <comment ref="E1977" authorId="2" shapeId="0" xr:uid="{00000000-0006-0000-0100-00009B080000}">
      <text>
        <r>
          <rPr>
            <sz val="11"/>
            <color theme="1"/>
            <rFont val="Calibri"/>
            <family val="2"/>
            <scheme val="minor"/>
          </rPr>
          <t>Seleccione un valor de la lista</t>
        </r>
      </text>
    </comment>
    <comment ref="F1977" authorId="2" shapeId="0" xr:uid="{00000000-0006-0000-0100-00009C080000}">
      <text>
        <r>
          <rPr>
            <sz val="11"/>
            <color theme="1"/>
            <rFont val="Calibri"/>
            <family val="2"/>
            <scheme val="minor"/>
          </rPr>
          <t>Introduzca el código SNIP</t>
        </r>
      </text>
    </comment>
    <comment ref="C1978" authorId="2" shapeId="0" xr:uid="{00000000-0006-0000-0100-00009D080000}">
      <text>
        <r>
          <rPr>
            <sz val="11"/>
            <color theme="1"/>
            <rFont val="Calibri"/>
            <family val="2"/>
            <scheme val="minor"/>
          </rPr>
          <t>Introduzca la fecha de inicio del proceso, en formato dd-mm-aaaa</t>
        </r>
      </text>
    </comment>
    <comment ref="F1978" authorId="2"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9" authorId="2" shapeId="0" xr:uid="{00000000-0006-0000-0100-00009F080000}">
      <text/>
    </comment>
    <comment ref="C1980" authorId="2" shapeId="0" xr:uid="{00000000-0006-0000-0100-0000A0080000}">
      <text>
        <r>
          <rPr>
            <sz val="11"/>
            <color theme="1"/>
            <rFont val="Calibri"/>
            <family val="2"/>
            <scheme val="minor"/>
          </rPr>
          <t>Introduzca la fecha prevista de adjudicación, en formato dd-mm-aaaa</t>
        </r>
      </text>
    </comment>
    <comment ref="F1980" authorId="2" shapeId="0" xr:uid="{00000000-0006-0000-0100-0000A1080000}">
      <text/>
    </comment>
    <comment ref="F1981" authorId="2" shapeId="0" xr:uid="{00000000-0006-0000-0100-0000A2080000}">
      <text/>
    </comment>
    <comment ref="A1983" authorId="2" shapeId="0" xr:uid="{00000000-0006-0000-0100-0000A3080000}">
      <text>
        <r>
          <rPr>
            <sz val="11"/>
            <color theme="1"/>
            <rFont val="Calibri"/>
            <family val="2"/>
            <scheme val="minor"/>
          </rPr>
          <t>Introduzca un codigo UNSPSC</t>
        </r>
      </text>
    </comment>
    <comment ref="B1983" authorId="2" shapeId="0" xr:uid="{00000000-0006-0000-0100-0000A4080000}">
      <text>
        <r>
          <rPr>
            <sz val="11"/>
            <color theme="1"/>
            <rFont val="Calibri"/>
            <family val="2"/>
            <scheme val="minor"/>
          </rPr>
          <t>Descripción calculada automáticamente a partir de código del artículo</t>
        </r>
      </text>
    </comment>
    <comment ref="C1983" authorId="2" shapeId="0" xr:uid="{00000000-0006-0000-0100-0000A5080000}">
      <text>
        <r>
          <rPr>
            <sz val="11"/>
            <color theme="1"/>
            <rFont val="Calibri"/>
            <family val="2"/>
            <scheme val="minor"/>
          </rPr>
          <t>Seleccione un valor de la lista</t>
        </r>
      </text>
    </comment>
    <comment ref="D1983" authorId="2" shapeId="0" xr:uid="{00000000-0006-0000-0100-0000A6080000}">
      <text>
        <r>
          <rPr>
            <sz val="11"/>
            <color theme="1"/>
            <rFont val="Calibri"/>
            <family val="2"/>
            <scheme val="minor"/>
          </rPr>
          <t>Introduzca un número con dos decimales como máximo. Debe ser igual o mayor a la "Cantidad Real Consumida"</t>
        </r>
      </text>
    </comment>
    <comment ref="E1983" authorId="2" shapeId="0" xr:uid="{00000000-0006-0000-0100-0000A7080000}">
      <text>
        <r>
          <rPr>
            <sz val="11"/>
            <color theme="1"/>
            <rFont val="Calibri"/>
            <family val="2"/>
            <scheme val="minor"/>
          </rPr>
          <t>Introduzca un número con dos decimales como máximo</t>
        </r>
      </text>
    </comment>
    <comment ref="F1983" authorId="2" shapeId="0" xr:uid="{00000000-0006-0000-0100-0000A8080000}">
      <text>
        <r>
          <rPr>
            <sz val="11"/>
            <color theme="1"/>
            <rFont val="Calibri"/>
            <family val="2"/>
            <scheme val="minor"/>
          </rPr>
          <t>Monto calculado automáticamente por el sistema</t>
        </r>
      </text>
    </comment>
    <comment ref="A1990" authorId="2" shapeId="0" xr:uid="{00000000-0006-0000-0100-0000A9080000}">
      <text>
        <r>
          <rPr>
            <sz val="11"/>
            <color theme="1"/>
            <rFont val="Calibri"/>
            <family val="2"/>
            <scheme val="minor"/>
          </rPr>
          <t>Introducir un texto con el nombre o referencia de la contratación</t>
        </r>
      </text>
    </comment>
    <comment ref="B1990" authorId="2" shapeId="0" xr:uid="{00000000-0006-0000-0100-0000AA080000}">
      <text>
        <r>
          <rPr>
            <sz val="11"/>
            <color theme="1"/>
            <rFont val="Calibri"/>
            <family val="2"/>
            <scheme val="minor"/>
          </rPr>
          <t>Introduzca un texto con la finalidad de la contratación</t>
        </r>
      </text>
    </comment>
    <comment ref="C1990" authorId="2" shapeId="0" xr:uid="{00000000-0006-0000-0100-0000AB080000}">
      <text>
        <r>
          <rPr>
            <sz val="11"/>
            <color theme="1"/>
            <rFont val="Calibri"/>
            <family val="2"/>
            <scheme val="minor"/>
          </rPr>
          <t>Seleccionar un valor del listado</t>
        </r>
      </text>
    </comment>
    <comment ref="D1990" authorId="2" shapeId="0" xr:uid="{00000000-0006-0000-0100-0000AC080000}">
      <text>
        <r>
          <rPr>
            <sz val="11"/>
            <color theme="1"/>
            <rFont val="Calibri"/>
            <family val="2"/>
            <scheme val="minor"/>
          </rPr>
          <t>Seleccione el tipo de procedimiento</t>
        </r>
      </text>
    </comment>
    <comment ref="E1990" authorId="2" shapeId="0" xr:uid="{00000000-0006-0000-0100-0000AD080000}">
      <text>
        <r>
          <rPr>
            <sz val="11"/>
            <color theme="1"/>
            <rFont val="Calibri"/>
            <family val="2"/>
            <scheme val="minor"/>
          </rPr>
          <t>Seleccione un valor de la lista</t>
        </r>
      </text>
    </comment>
    <comment ref="F1990" authorId="2" shapeId="0" xr:uid="{00000000-0006-0000-0100-0000AE080000}">
      <text>
        <r>
          <rPr>
            <sz val="11"/>
            <color theme="1"/>
            <rFont val="Calibri"/>
            <family val="2"/>
            <scheme val="minor"/>
          </rPr>
          <t>Introduzca el código SNIP</t>
        </r>
      </text>
    </comment>
    <comment ref="C1991" authorId="2" shapeId="0" xr:uid="{00000000-0006-0000-0100-0000AF080000}">
      <text>
        <r>
          <rPr>
            <sz val="11"/>
            <color theme="1"/>
            <rFont val="Calibri"/>
            <family val="2"/>
            <scheme val="minor"/>
          </rPr>
          <t>Introduzca la fecha de inicio del proceso, en formato dd-mm-aaaa</t>
        </r>
      </text>
    </comment>
    <comment ref="F1991" authorId="2"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2" shapeId="0" xr:uid="{00000000-0006-0000-0100-0000B1080000}">
      <text/>
    </comment>
    <comment ref="C1993" authorId="2" shapeId="0" xr:uid="{00000000-0006-0000-0100-0000B2080000}">
      <text>
        <r>
          <rPr>
            <sz val="11"/>
            <color theme="1"/>
            <rFont val="Calibri"/>
            <family val="2"/>
            <scheme val="minor"/>
          </rPr>
          <t>Introduzca la fecha prevista de adjudicación, en formato dd-mm-aaaa</t>
        </r>
      </text>
    </comment>
    <comment ref="F1993" authorId="2" shapeId="0" xr:uid="{00000000-0006-0000-0100-0000B3080000}">
      <text/>
    </comment>
    <comment ref="F1994" authorId="2" shapeId="0" xr:uid="{00000000-0006-0000-0100-0000B4080000}">
      <text/>
    </comment>
    <comment ref="A1996" authorId="2" shapeId="0" xr:uid="{00000000-0006-0000-0100-0000B5080000}">
      <text>
        <r>
          <rPr>
            <sz val="11"/>
            <color theme="1"/>
            <rFont val="Calibri"/>
            <family val="2"/>
            <scheme val="minor"/>
          </rPr>
          <t>Introduzca un codigo UNSPSC</t>
        </r>
      </text>
    </comment>
    <comment ref="B1996" authorId="2" shapeId="0" xr:uid="{00000000-0006-0000-0100-0000B6080000}">
      <text>
        <r>
          <rPr>
            <sz val="11"/>
            <color theme="1"/>
            <rFont val="Calibri"/>
            <family val="2"/>
            <scheme val="minor"/>
          </rPr>
          <t>Descripción calculada automáticamente a partir de código del artículo</t>
        </r>
      </text>
    </comment>
    <comment ref="C1996" authorId="2" shapeId="0" xr:uid="{00000000-0006-0000-0100-0000B7080000}">
      <text>
        <r>
          <rPr>
            <sz val="11"/>
            <color theme="1"/>
            <rFont val="Calibri"/>
            <family val="2"/>
            <scheme val="minor"/>
          </rPr>
          <t>Seleccione un valor de la lista</t>
        </r>
      </text>
    </comment>
    <comment ref="D1996" authorId="2" shapeId="0" xr:uid="{00000000-0006-0000-0100-0000B8080000}">
      <text>
        <r>
          <rPr>
            <sz val="11"/>
            <color theme="1"/>
            <rFont val="Calibri"/>
            <family val="2"/>
            <scheme val="minor"/>
          </rPr>
          <t>Introduzca un número con dos decimales como máximo. Debe ser igual o mayor a la "Cantidad Real Consumida"</t>
        </r>
      </text>
    </comment>
    <comment ref="E1996" authorId="2" shapeId="0" xr:uid="{00000000-0006-0000-0100-0000B9080000}">
      <text>
        <r>
          <rPr>
            <sz val="11"/>
            <color theme="1"/>
            <rFont val="Calibri"/>
            <family val="2"/>
            <scheme val="minor"/>
          </rPr>
          <t>Introduzca un número con dos decimales como máximo</t>
        </r>
      </text>
    </comment>
    <comment ref="F1996" authorId="2" shapeId="0" xr:uid="{00000000-0006-0000-0100-0000BA080000}">
      <text>
        <r>
          <rPr>
            <sz val="11"/>
            <color theme="1"/>
            <rFont val="Calibri"/>
            <family val="2"/>
            <scheme val="minor"/>
          </rPr>
          <t>Monto calculado automáticamente por el sistema</t>
        </r>
      </text>
    </comment>
    <comment ref="A2002" authorId="2" shapeId="0" xr:uid="{00000000-0006-0000-0100-0000BB080000}">
      <text>
        <r>
          <rPr>
            <sz val="11"/>
            <color theme="1"/>
            <rFont val="Calibri"/>
            <family val="2"/>
            <scheme val="minor"/>
          </rPr>
          <t>Introducir un texto con el nombre o referencia de la contratación</t>
        </r>
      </text>
    </comment>
    <comment ref="B2002" authorId="2" shapeId="0" xr:uid="{00000000-0006-0000-0100-0000BC080000}">
      <text>
        <r>
          <rPr>
            <sz val="11"/>
            <color theme="1"/>
            <rFont val="Calibri"/>
            <family val="2"/>
            <scheme val="minor"/>
          </rPr>
          <t>Introduzca un texto con la finalidad de la contratación</t>
        </r>
      </text>
    </comment>
    <comment ref="C2002" authorId="2" shapeId="0" xr:uid="{00000000-0006-0000-0100-0000BD080000}">
      <text>
        <r>
          <rPr>
            <sz val="11"/>
            <color theme="1"/>
            <rFont val="Calibri"/>
            <family val="2"/>
            <scheme val="minor"/>
          </rPr>
          <t>Seleccionar un valor del listado</t>
        </r>
      </text>
    </comment>
    <comment ref="D2002" authorId="2" shapeId="0" xr:uid="{00000000-0006-0000-0100-0000BE080000}">
      <text>
        <r>
          <rPr>
            <sz val="11"/>
            <color theme="1"/>
            <rFont val="Calibri"/>
            <family val="2"/>
            <scheme val="minor"/>
          </rPr>
          <t>Seleccione el tipo de procedimiento</t>
        </r>
      </text>
    </comment>
    <comment ref="E2002" authorId="2" shapeId="0" xr:uid="{00000000-0006-0000-0100-0000BF080000}">
      <text>
        <r>
          <rPr>
            <sz val="11"/>
            <color theme="1"/>
            <rFont val="Calibri"/>
            <family val="2"/>
            <scheme val="minor"/>
          </rPr>
          <t>Seleccione un valor de la lista</t>
        </r>
      </text>
    </comment>
    <comment ref="F2002" authorId="2" shapeId="0" xr:uid="{00000000-0006-0000-0100-0000C0080000}">
      <text>
        <r>
          <rPr>
            <sz val="11"/>
            <color theme="1"/>
            <rFont val="Calibri"/>
            <family val="2"/>
            <scheme val="minor"/>
          </rPr>
          <t>Introduzca el código SNIP</t>
        </r>
      </text>
    </comment>
    <comment ref="C2003" authorId="2" shapeId="0" xr:uid="{00000000-0006-0000-0100-0000C1080000}">
      <text>
        <r>
          <rPr>
            <sz val="11"/>
            <color theme="1"/>
            <rFont val="Calibri"/>
            <family val="2"/>
            <scheme val="minor"/>
          </rPr>
          <t>Introduzca la fecha de inicio del proceso, en formato dd-mm-aaaa</t>
        </r>
      </text>
    </comment>
    <comment ref="F2003" authorId="2"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4" authorId="2" shapeId="0" xr:uid="{00000000-0006-0000-0100-0000C3080000}">
      <text/>
    </comment>
    <comment ref="C2005" authorId="2" shapeId="0" xr:uid="{00000000-0006-0000-0100-0000C4080000}">
      <text>
        <r>
          <rPr>
            <sz val="11"/>
            <color theme="1"/>
            <rFont val="Calibri"/>
            <family val="2"/>
            <scheme val="minor"/>
          </rPr>
          <t>Introduzca la fecha prevista de adjudicación, en formato dd-mm-aaaa</t>
        </r>
      </text>
    </comment>
    <comment ref="F2005" authorId="2" shapeId="0" xr:uid="{00000000-0006-0000-0100-0000C5080000}">
      <text/>
    </comment>
    <comment ref="F2006" authorId="2" shapeId="0" xr:uid="{00000000-0006-0000-0100-0000C6080000}">
      <text/>
    </comment>
    <comment ref="A2008" authorId="2" shapeId="0" xr:uid="{00000000-0006-0000-0100-0000C7080000}">
      <text>
        <r>
          <rPr>
            <sz val="11"/>
            <color theme="1"/>
            <rFont val="Calibri"/>
            <family val="2"/>
            <scheme val="minor"/>
          </rPr>
          <t>Introduzca un codigo UNSPSC</t>
        </r>
      </text>
    </comment>
    <comment ref="B2008" authorId="2" shapeId="0" xr:uid="{00000000-0006-0000-0100-0000C8080000}">
      <text>
        <r>
          <rPr>
            <sz val="11"/>
            <color theme="1"/>
            <rFont val="Calibri"/>
            <family val="2"/>
            <scheme val="minor"/>
          </rPr>
          <t>Descripción calculada automáticamente a partir de código del artículo</t>
        </r>
      </text>
    </comment>
    <comment ref="C2008" authorId="2" shapeId="0" xr:uid="{00000000-0006-0000-0100-0000C9080000}">
      <text>
        <r>
          <rPr>
            <sz val="11"/>
            <color theme="1"/>
            <rFont val="Calibri"/>
            <family val="2"/>
            <scheme val="minor"/>
          </rPr>
          <t>Seleccione un valor de la lista</t>
        </r>
      </text>
    </comment>
    <comment ref="D2008" authorId="2" shapeId="0" xr:uid="{00000000-0006-0000-0100-0000CA080000}">
      <text>
        <r>
          <rPr>
            <sz val="11"/>
            <color theme="1"/>
            <rFont val="Calibri"/>
            <family val="2"/>
            <scheme val="minor"/>
          </rPr>
          <t>Introduzca un número con dos decimales como máximo. Debe ser igual o mayor a la "Cantidad Real Consumida"</t>
        </r>
      </text>
    </comment>
    <comment ref="E2008" authorId="2" shapeId="0" xr:uid="{00000000-0006-0000-0100-0000CB080000}">
      <text>
        <r>
          <rPr>
            <sz val="11"/>
            <color theme="1"/>
            <rFont val="Calibri"/>
            <family val="2"/>
            <scheme val="minor"/>
          </rPr>
          <t>Introduzca un número con dos decimales como máximo</t>
        </r>
      </text>
    </comment>
    <comment ref="F2008" authorId="2" shapeId="0" xr:uid="{00000000-0006-0000-0100-0000CC080000}">
      <text>
        <r>
          <rPr>
            <sz val="11"/>
            <color theme="1"/>
            <rFont val="Calibri"/>
            <family val="2"/>
            <scheme val="minor"/>
          </rPr>
          <t>Monto calculado automáticamente por el sistema</t>
        </r>
      </text>
    </comment>
    <comment ref="A2014" authorId="2" shapeId="0" xr:uid="{00000000-0006-0000-0100-0000CD080000}">
      <text>
        <r>
          <rPr>
            <sz val="11"/>
            <color theme="1"/>
            <rFont val="Calibri"/>
            <family val="2"/>
            <scheme val="minor"/>
          </rPr>
          <t>Introducir un texto con el nombre o referencia de la contratación</t>
        </r>
      </text>
    </comment>
    <comment ref="B2014" authorId="2" shapeId="0" xr:uid="{00000000-0006-0000-0100-0000CE080000}">
      <text>
        <r>
          <rPr>
            <sz val="11"/>
            <color theme="1"/>
            <rFont val="Calibri"/>
            <family val="2"/>
            <scheme val="minor"/>
          </rPr>
          <t>Introduzca un texto con la finalidad de la contratación</t>
        </r>
      </text>
    </comment>
    <comment ref="C2014" authorId="2" shapeId="0" xr:uid="{00000000-0006-0000-0100-0000CF080000}">
      <text>
        <r>
          <rPr>
            <sz val="11"/>
            <color theme="1"/>
            <rFont val="Calibri"/>
            <family val="2"/>
            <scheme val="minor"/>
          </rPr>
          <t>Seleccionar un valor del listado</t>
        </r>
      </text>
    </comment>
    <comment ref="D2014" authorId="2" shapeId="0" xr:uid="{00000000-0006-0000-0100-0000D0080000}">
      <text>
        <r>
          <rPr>
            <sz val="11"/>
            <color theme="1"/>
            <rFont val="Calibri"/>
            <family val="2"/>
            <scheme val="minor"/>
          </rPr>
          <t>Seleccione el tipo de procedimiento</t>
        </r>
      </text>
    </comment>
    <comment ref="E2014" authorId="2" shapeId="0" xr:uid="{00000000-0006-0000-0100-0000D1080000}">
      <text>
        <r>
          <rPr>
            <sz val="11"/>
            <color theme="1"/>
            <rFont val="Calibri"/>
            <family val="2"/>
            <scheme val="minor"/>
          </rPr>
          <t>Seleccione un valor de la lista</t>
        </r>
      </text>
    </comment>
    <comment ref="F2014" authorId="2" shapeId="0" xr:uid="{00000000-0006-0000-0100-0000D2080000}">
      <text>
        <r>
          <rPr>
            <sz val="11"/>
            <color theme="1"/>
            <rFont val="Calibri"/>
            <family val="2"/>
            <scheme val="minor"/>
          </rPr>
          <t>Introduzca el código SNIP</t>
        </r>
      </text>
    </comment>
    <comment ref="C2015" authorId="2" shapeId="0" xr:uid="{00000000-0006-0000-0100-0000D3080000}">
      <text>
        <r>
          <rPr>
            <sz val="11"/>
            <color theme="1"/>
            <rFont val="Calibri"/>
            <family val="2"/>
            <scheme val="minor"/>
          </rPr>
          <t>Introduzca la fecha de inicio del proceso, en formato dd-mm-aaaa</t>
        </r>
      </text>
    </comment>
    <comment ref="F2015" authorId="2"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6" authorId="2" shapeId="0" xr:uid="{00000000-0006-0000-0100-0000D5080000}">
      <text/>
    </comment>
    <comment ref="C2017" authorId="2" shapeId="0" xr:uid="{00000000-0006-0000-0100-0000D6080000}">
      <text>
        <r>
          <rPr>
            <sz val="11"/>
            <color theme="1"/>
            <rFont val="Calibri"/>
            <family val="2"/>
            <scheme val="minor"/>
          </rPr>
          <t>Introduzca la fecha prevista de adjudicación, en formato dd-mm-aaaa</t>
        </r>
      </text>
    </comment>
    <comment ref="F2017" authorId="2" shapeId="0" xr:uid="{00000000-0006-0000-0100-0000D7080000}">
      <text/>
    </comment>
    <comment ref="F2018" authorId="2" shapeId="0" xr:uid="{00000000-0006-0000-0100-0000D8080000}">
      <text/>
    </comment>
    <comment ref="A2020" authorId="2" shapeId="0" xr:uid="{00000000-0006-0000-0100-0000D9080000}">
      <text>
        <r>
          <rPr>
            <sz val="11"/>
            <color theme="1"/>
            <rFont val="Calibri"/>
            <family val="2"/>
            <scheme val="minor"/>
          </rPr>
          <t>Introduzca un codigo UNSPSC</t>
        </r>
      </text>
    </comment>
    <comment ref="B2020" authorId="2" shapeId="0" xr:uid="{00000000-0006-0000-0100-0000DA080000}">
      <text>
        <r>
          <rPr>
            <sz val="11"/>
            <color theme="1"/>
            <rFont val="Calibri"/>
            <family val="2"/>
            <scheme val="minor"/>
          </rPr>
          <t>Descripción calculada automáticamente a partir de código del artículo</t>
        </r>
      </text>
    </comment>
    <comment ref="C2020" authorId="2" shapeId="0" xr:uid="{00000000-0006-0000-0100-0000DB080000}">
      <text>
        <r>
          <rPr>
            <sz val="11"/>
            <color theme="1"/>
            <rFont val="Calibri"/>
            <family val="2"/>
            <scheme val="minor"/>
          </rPr>
          <t>Seleccione un valor de la lista</t>
        </r>
      </text>
    </comment>
    <comment ref="D2020" authorId="2" shapeId="0" xr:uid="{00000000-0006-0000-0100-0000DC080000}">
      <text>
        <r>
          <rPr>
            <sz val="11"/>
            <color theme="1"/>
            <rFont val="Calibri"/>
            <family val="2"/>
            <scheme val="minor"/>
          </rPr>
          <t>Introduzca un número con dos decimales como máximo. Debe ser igual o mayor a la "Cantidad Real Consumida"</t>
        </r>
      </text>
    </comment>
    <comment ref="E2020" authorId="2" shapeId="0" xr:uid="{00000000-0006-0000-0100-0000DD080000}">
      <text>
        <r>
          <rPr>
            <sz val="11"/>
            <color theme="1"/>
            <rFont val="Calibri"/>
            <family val="2"/>
            <scheme val="minor"/>
          </rPr>
          <t>Introduzca un número con dos decimales como máximo</t>
        </r>
      </text>
    </comment>
    <comment ref="F2020" authorId="2" shapeId="0" xr:uid="{00000000-0006-0000-0100-0000DE080000}">
      <text>
        <r>
          <rPr>
            <sz val="11"/>
            <color theme="1"/>
            <rFont val="Calibri"/>
            <family val="2"/>
            <scheme val="minor"/>
          </rPr>
          <t>Monto calculado automáticamente por el sistema</t>
        </r>
      </text>
    </comment>
    <comment ref="A2026" authorId="2" shapeId="0" xr:uid="{00000000-0006-0000-0100-0000DF080000}">
      <text>
        <r>
          <rPr>
            <sz val="11"/>
            <color theme="1"/>
            <rFont val="Calibri"/>
            <family val="2"/>
            <scheme val="minor"/>
          </rPr>
          <t>Introducir un texto con el nombre o referencia de la contratación</t>
        </r>
      </text>
    </comment>
    <comment ref="B2026" authorId="2" shapeId="0" xr:uid="{00000000-0006-0000-0100-0000E0080000}">
      <text>
        <r>
          <rPr>
            <sz val="11"/>
            <color theme="1"/>
            <rFont val="Calibri"/>
            <family val="2"/>
            <scheme val="minor"/>
          </rPr>
          <t>Introduzca un texto con la finalidad de la contratación</t>
        </r>
      </text>
    </comment>
    <comment ref="C2026" authorId="2" shapeId="0" xr:uid="{00000000-0006-0000-0100-0000E1080000}">
      <text>
        <r>
          <rPr>
            <sz val="11"/>
            <color theme="1"/>
            <rFont val="Calibri"/>
            <family val="2"/>
            <scheme val="minor"/>
          </rPr>
          <t>Seleccionar un valor del listado</t>
        </r>
      </text>
    </comment>
    <comment ref="D2026" authorId="2" shapeId="0" xr:uid="{00000000-0006-0000-0100-0000E2080000}">
      <text>
        <r>
          <rPr>
            <sz val="11"/>
            <color theme="1"/>
            <rFont val="Calibri"/>
            <family val="2"/>
            <scheme val="minor"/>
          </rPr>
          <t>Seleccione el tipo de procedimiento</t>
        </r>
      </text>
    </comment>
    <comment ref="E2026" authorId="2" shapeId="0" xr:uid="{00000000-0006-0000-0100-0000E3080000}">
      <text>
        <r>
          <rPr>
            <sz val="11"/>
            <color theme="1"/>
            <rFont val="Calibri"/>
            <family val="2"/>
            <scheme val="minor"/>
          </rPr>
          <t>Seleccione un valor de la lista</t>
        </r>
      </text>
    </comment>
    <comment ref="F2026" authorId="2" shapeId="0" xr:uid="{00000000-0006-0000-0100-0000E4080000}">
      <text>
        <r>
          <rPr>
            <sz val="11"/>
            <color theme="1"/>
            <rFont val="Calibri"/>
            <family val="2"/>
            <scheme val="minor"/>
          </rPr>
          <t>Introduzca el código SNIP</t>
        </r>
      </text>
    </comment>
    <comment ref="C2027" authorId="2" shapeId="0" xr:uid="{00000000-0006-0000-0100-0000E5080000}">
      <text>
        <r>
          <rPr>
            <sz val="11"/>
            <color theme="1"/>
            <rFont val="Calibri"/>
            <family val="2"/>
            <scheme val="minor"/>
          </rPr>
          <t>Introduzca la fecha de inicio del proceso, en formato dd-mm-aaaa</t>
        </r>
      </text>
    </comment>
    <comment ref="F2027" authorId="2"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2" shapeId="0" xr:uid="{00000000-0006-0000-0100-0000E7080000}">
      <text/>
    </comment>
    <comment ref="C2029" authorId="2" shapeId="0" xr:uid="{00000000-0006-0000-0100-0000E8080000}">
      <text>
        <r>
          <rPr>
            <sz val="11"/>
            <color theme="1"/>
            <rFont val="Calibri"/>
            <family val="2"/>
            <scheme val="minor"/>
          </rPr>
          <t>Introduzca la fecha prevista de adjudicación, en formato dd-mm-aaaa</t>
        </r>
      </text>
    </comment>
    <comment ref="F2029" authorId="2" shapeId="0" xr:uid="{00000000-0006-0000-0100-0000E9080000}">
      <text/>
    </comment>
    <comment ref="F2030" authorId="2" shapeId="0" xr:uid="{00000000-0006-0000-0100-0000EA080000}">
      <text/>
    </comment>
    <comment ref="A2032" authorId="2" shapeId="0" xr:uid="{00000000-0006-0000-0100-0000EB080000}">
      <text>
        <r>
          <rPr>
            <sz val="11"/>
            <color theme="1"/>
            <rFont val="Calibri"/>
            <family val="2"/>
            <scheme val="minor"/>
          </rPr>
          <t>Introduzca un codigo UNSPSC</t>
        </r>
      </text>
    </comment>
    <comment ref="B2032" authorId="2" shapeId="0" xr:uid="{00000000-0006-0000-0100-0000EC080000}">
      <text>
        <r>
          <rPr>
            <sz val="11"/>
            <color theme="1"/>
            <rFont val="Calibri"/>
            <family val="2"/>
            <scheme val="minor"/>
          </rPr>
          <t>Descripción calculada automáticamente a partir de código del artículo</t>
        </r>
      </text>
    </comment>
    <comment ref="C2032" authorId="2" shapeId="0" xr:uid="{00000000-0006-0000-0100-0000ED080000}">
      <text>
        <r>
          <rPr>
            <sz val="11"/>
            <color theme="1"/>
            <rFont val="Calibri"/>
            <family val="2"/>
            <scheme val="minor"/>
          </rPr>
          <t>Seleccione un valor de la lista</t>
        </r>
      </text>
    </comment>
    <comment ref="D2032" authorId="2" shapeId="0" xr:uid="{00000000-0006-0000-0100-0000EE080000}">
      <text>
        <r>
          <rPr>
            <sz val="11"/>
            <color theme="1"/>
            <rFont val="Calibri"/>
            <family val="2"/>
            <scheme val="minor"/>
          </rPr>
          <t>Introduzca un número con dos decimales como máximo. Debe ser igual o mayor a la "Cantidad Real Consumida"</t>
        </r>
      </text>
    </comment>
    <comment ref="E2032" authorId="2" shapeId="0" xr:uid="{00000000-0006-0000-0100-0000EF080000}">
      <text>
        <r>
          <rPr>
            <sz val="11"/>
            <color theme="1"/>
            <rFont val="Calibri"/>
            <family val="2"/>
            <scheme val="minor"/>
          </rPr>
          <t>Introduzca un número con dos decimales como máximo</t>
        </r>
      </text>
    </comment>
    <comment ref="F2032" authorId="2" shapeId="0" xr:uid="{00000000-0006-0000-0100-0000F0080000}">
      <text>
        <r>
          <rPr>
            <sz val="11"/>
            <color theme="1"/>
            <rFont val="Calibri"/>
            <family val="2"/>
            <scheme val="minor"/>
          </rPr>
          <t>Monto calculado automáticamente por el sistema</t>
        </r>
      </text>
    </comment>
    <comment ref="A2038" authorId="2" shapeId="0" xr:uid="{00000000-0006-0000-0100-0000F1080000}">
      <text>
        <r>
          <rPr>
            <sz val="11"/>
            <color theme="1"/>
            <rFont val="Calibri"/>
            <family val="2"/>
            <scheme val="minor"/>
          </rPr>
          <t>Introducir un texto con el nombre o referencia de la contratación</t>
        </r>
      </text>
    </comment>
    <comment ref="B2038" authorId="2" shapeId="0" xr:uid="{00000000-0006-0000-0100-0000F2080000}">
      <text>
        <r>
          <rPr>
            <sz val="11"/>
            <color theme="1"/>
            <rFont val="Calibri"/>
            <family val="2"/>
            <scheme val="minor"/>
          </rPr>
          <t>Introduzca un texto con la finalidad de la contratación</t>
        </r>
      </text>
    </comment>
    <comment ref="C2038" authorId="2" shapeId="0" xr:uid="{00000000-0006-0000-0100-0000F3080000}">
      <text>
        <r>
          <rPr>
            <sz val="11"/>
            <color theme="1"/>
            <rFont val="Calibri"/>
            <family val="2"/>
            <scheme val="minor"/>
          </rPr>
          <t>Seleccionar un valor del listado</t>
        </r>
      </text>
    </comment>
    <comment ref="D2038" authorId="2" shapeId="0" xr:uid="{00000000-0006-0000-0100-0000F4080000}">
      <text>
        <r>
          <rPr>
            <sz val="11"/>
            <color theme="1"/>
            <rFont val="Calibri"/>
            <family val="2"/>
            <scheme val="minor"/>
          </rPr>
          <t>Seleccione el tipo de procedimiento</t>
        </r>
      </text>
    </comment>
    <comment ref="E2038" authorId="2" shapeId="0" xr:uid="{00000000-0006-0000-0100-0000F5080000}">
      <text>
        <r>
          <rPr>
            <sz val="11"/>
            <color theme="1"/>
            <rFont val="Calibri"/>
            <family val="2"/>
            <scheme val="minor"/>
          </rPr>
          <t>Seleccione un valor de la lista</t>
        </r>
      </text>
    </comment>
    <comment ref="F2038" authorId="2" shapeId="0" xr:uid="{00000000-0006-0000-0100-0000F6080000}">
      <text>
        <r>
          <rPr>
            <sz val="11"/>
            <color theme="1"/>
            <rFont val="Calibri"/>
            <family val="2"/>
            <scheme val="minor"/>
          </rPr>
          <t>Introduzca el código SNIP</t>
        </r>
      </text>
    </comment>
    <comment ref="C2039" authorId="2" shapeId="0" xr:uid="{00000000-0006-0000-0100-0000F7080000}">
      <text>
        <r>
          <rPr>
            <sz val="11"/>
            <color theme="1"/>
            <rFont val="Calibri"/>
            <family val="2"/>
            <scheme val="minor"/>
          </rPr>
          <t>Introduzca la fecha de inicio del proceso, en formato dd-mm-aaaa</t>
        </r>
      </text>
    </comment>
    <comment ref="F2039" authorId="2"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2" shapeId="0" xr:uid="{00000000-0006-0000-0100-0000F9080000}">
      <text/>
    </comment>
    <comment ref="C2041" authorId="2" shapeId="0" xr:uid="{00000000-0006-0000-0100-0000FA080000}">
      <text>
        <r>
          <rPr>
            <sz val="11"/>
            <color theme="1"/>
            <rFont val="Calibri"/>
            <family val="2"/>
            <scheme val="minor"/>
          </rPr>
          <t>Introduzca la fecha prevista de adjudicación, en formato dd-mm-aaaa</t>
        </r>
      </text>
    </comment>
    <comment ref="F2041" authorId="2" shapeId="0" xr:uid="{00000000-0006-0000-0100-0000FB080000}">
      <text/>
    </comment>
    <comment ref="F2042" authorId="2" shapeId="0" xr:uid="{00000000-0006-0000-0100-0000FC080000}">
      <text/>
    </comment>
    <comment ref="A2044" authorId="2" shapeId="0" xr:uid="{00000000-0006-0000-0100-0000FD080000}">
      <text>
        <r>
          <rPr>
            <sz val="11"/>
            <color theme="1"/>
            <rFont val="Calibri"/>
            <family val="2"/>
            <scheme val="minor"/>
          </rPr>
          <t>Introduzca un codigo UNSPSC</t>
        </r>
      </text>
    </comment>
    <comment ref="B2044" authorId="2" shapeId="0" xr:uid="{00000000-0006-0000-0100-0000FE080000}">
      <text>
        <r>
          <rPr>
            <sz val="11"/>
            <color theme="1"/>
            <rFont val="Calibri"/>
            <family val="2"/>
            <scheme val="minor"/>
          </rPr>
          <t>Descripción calculada automáticamente a partir de código del artículo</t>
        </r>
      </text>
    </comment>
    <comment ref="C2044" authorId="2" shapeId="0" xr:uid="{00000000-0006-0000-0100-0000FF080000}">
      <text>
        <r>
          <rPr>
            <sz val="11"/>
            <color theme="1"/>
            <rFont val="Calibri"/>
            <family val="2"/>
            <scheme val="minor"/>
          </rPr>
          <t>Seleccione un valor de la lista</t>
        </r>
      </text>
    </comment>
    <comment ref="D2044" authorId="2" shapeId="0" xr:uid="{00000000-0006-0000-0100-000000090000}">
      <text>
        <r>
          <rPr>
            <sz val="11"/>
            <color theme="1"/>
            <rFont val="Calibri"/>
            <family val="2"/>
            <scheme val="minor"/>
          </rPr>
          <t>Introduzca un número con dos decimales como máximo. Debe ser igual o mayor a la "Cantidad Real Consumida"</t>
        </r>
      </text>
    </comment>
    <comment ref="E2044" authorId="2" shapeId="0" xr:uid="{00000000-0006-0000-0100-000001090000}">
      <text>
        <r>
          <rPr>
            <sz val="11"/>
            <color theme="1"/>
            <rFont val="Calibri"/>
            <family val="2"/>
            <scheme val="minor"/>
          </rPr>
          <t>Introduzca un número con dos decimales como máximo</t>
        </r>
      </text>
    </comment>
    <comment ref="F2044" authorId="2" shapeId="0" xr:uid="{00000000-0006-0000-0100-000002090000}">
      <text>
        <r>
          <rPr>
            <sz val="11"/>
            <color theme="1"/>
            <rFont val="Calibri"/>
            <family val="2"/>
            <scheme val="minor"/>
          </rPr>
          <t>Monto calculado automáticamente por el sistema</t>
        </r>
      </text>
    </comment>
    <comment ref="A2050" authorId="2" shapeId="0" xr:uid="{00000000-0006-0000-0100-000003090000}">
      <text>
        <r>
          <rPr>
            <sz val="11"/>
            <color theme="1"/>
            <rFont val="Calibri"/>
            <family val="2"/>
            <scheme val="minor"/>
          </rPr>
          <t>Introducir un texto con el nombre o referencia de la contratación</t>
        </r>
      </text>
    </comment>
    <comment ref="B2050" authorId="2" shapeId="0" xr:uid="{00000000-0006-0000-0100-000004090000}">
      <text>
        <r>
          <rPr>
            <sz val="11"/>
            <color theme="1"/>
            <rFont val="Calibri"/>
            <family val="2"/>
            <scheme val="minor"/>
          </rPr>
          <t>Introduzca un texto con la finalidad de la contratación</t>
        </r>
      </text>
    </comment>
    <comment ref="C2050" authorId="2" shapeId="0" xr:uid="{00000000-0006-0000-0100-000005090000}">
      <text>
        <r>
          <rPr>
            <sz val="11"/>
            <color theme="1"/>
            <rFont val="Calibri"/>
            <family val="2"/>
            <scheme val="minor"/>
          </rPr>
          <t>Seleccionar un valor del listado</t>
        </r>
      </text>
    </comment>
    <comment ref="D2050" authorId="2" shapeId="0" xr:uid="{00000000-0006-0000-0100-000006090000}">
      <text>
        <r>
          <rPr>
            <sz val="11"/>
            <color theme="1"/>
            <rFont val="Calibri"/>
            <family val="2"/>
            <scheme val="minor"/>
          </rPr>
          <t>Seleccione el tipo de procedimiento</t>
        </r>
      </text>
    </comment>
    <comment ref="E2050" authorId="2" shapeId="0" xr:uid="{00000000-0006-0000-0100-000007090000}">
      <text>
        <r>
          <rPr>
            <sz val="11"/>
            <color theme="1"/>
            <rFont val="Calibri"/>
            <family val="2"/>
            <scheme val="minor"/>
          </rPr>
          <t>Seleccione un valor de la lista</t>
        </r>
      </text>
    </comment>
    <comment ref="F2050" authorId="2" shapeId="0" xr:uid="{00000000-0006-0000-0100-000008090000}">
      <text>
        <r>
          <rPr>
            <sz val="11"/>
            <color theme="1"/>
            <rFont val="Calibri"/>
            <family val="2"/>
            <scheme val="minor"/>
          </rPr>
          <t>Introduzca el código SNIP</t>
        </r>
      </text>
    </comment>
    <comment ref="C2051" authorId="2" shapeId="0" xr:uid="{00000000-0006-0000-0100-000009090000}">
      <text>
        <r>
          <rPr>
            <sz val="11"/>
            <color theme="1"/>
            <rFont val="Calibri"/>
            <family val="2"/>
            <scheme val="minor"/>
          </rPr>
          <t>Introduzca la fecha de inicio del proceso, en formato dd-mm-aaaa</t>
        </r>
      </text>
    </comment>
    <comment ref="F2051" authorId="2"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2" authorId="2" shapeId="0" xr:uid="{00000000-0006-0000-0100-00000B090000}">
      <text/>
    </comment>
    <comment ref="C2053" authorId="2" shapeId="0" xr:uid="{00000000-0006-0000-0100-00000C090000}">
      <text>
        <r>
          <rPr>
            <sz val="11"/>
            <color theme="1"/>
            <rFont val="Calibri"/>
            <family val="2"/>
            <scheme val="minor"/>
          </rPr>
          <t>Introduzca la fecha prevista de adjudicación, en formato dd-mm-aaaa</t>
        </r>
      </text>
    </comment>
    <comment ref="F2053" authorId="2" shapeId="0" xr:uid="{00000000-0006-0000-0100-00000D090000}">
      <text/>
    </comment>
    <comment ref="F2054" authorId="2" shapeId="0" xr:uid="{00000000-0006-0000-0100-00000E090000}">
      <text/>
    </comment>
    <comment ref="A2056" authorId="2" shapeId="0" xr:uid="{00000000-0006-0000-0100-00000F090000}">
      <text>
        <r>
          <rPr>
            <sz val="11"/>
            <color theme="1"/>
            <rFont val="Calibri"/>
            <family val="2"/>
            <scheme val="minor"/>
          </rPr>
          <t>Introduzca un codigo UNSPSC</t>
        </r>
      </text>
    </comment>
    <comment ref="B2056" authorId="2" shapeId="0" xr:uid="{00000000-0006-0000-0100-000010090000}">
      <text>
        <r>
          <rPr>
            <sz val="11"/>
            <color theme="1"/>
            <rFont val="Calibri"/>
            <family val="2"/>
            <scheme val="minor"/>
          </rPr>
          <t>Descripción calculada automáticamente a partir de código del artículo</t>
        </r>
      </text>
    </comment>
    <comment ref="C2056" authorId="2" shapeId="0" xr:uid="{00000000-0006-0000-0100-000011090000}">
      <text>
        <r>
          <rPr>
            <sz val="11"/>
            <color theme="1"/>
            <rFont val="Calibri"/>
            <family val="2"/>
            <scheme val="minor"/>
          </rPr>
          <t>Seleccione un valor de la lista</t>
        </r>
      </text>
    </comment>
    <comment ref="D2056" authorId="2" shapeId="0" xr:uid="{00000000-0006-0000-0100-000012090000}">
      <text>
        <r>
          <rPr>
            <sz val="11"/>
            <color theme="1"/>
            <rFont val="Calibri"/>
            <family val="2"/>
            <scheme val="minor"/>
          </rPr>
          <t>Introduzca un número con dos decimales como máximo. Debe ser igual o mayor a la "Cantidad Real Consumida"</t>
        </r>
      </text>
    </comment>
    <comment ref="E2056" authorId="2" shapeId="0" xr:uid="{00000000-0006-0000-0100-000013090000}">
      <text>
        <r>
          <rPr>
            <sz val="11"/>
            <color theme="1"/>
            <rFont val="Calibri"/>
            <family val="2"/>
            <scheme val="minor"/>
          </rPr>
          <t>Introduzca un número con dos decimales como máximo</t>
        </r>
      </text>
    </comment>
    <comment ref="F2056" authorId="2" shapeId="0" xr:uid="{00000000-0006-0000-0100-000014090000}">
      <text>
        <r>
          <rPr>
            <sz val="11"/>
            <color theme="1"/>
            <rFont val="Calibri"/>
            <family val="2"/>
            <scheme val="minor"/>
          </rPr>
          <t>Monto calculado automáticamente por el sistema</t>
        </r>
      </text>
    </comment>
    <comment ref="A2062" authorId="2" shapeId="0" xr:uid="{00000000-0006-0000-0100-000015090000}">
      <text>
        <r>
          <rPr>
            <sz val="11"/>
            <color theme="1"/>
            <rFont val="Calibri"/>
            <family val="2"/>
            <scheme val="minor"/>
          </rPr>
          <t>Introducir un texto con el nombre o referencia de la contratación</t>
        </r>
      </text>
    </comment>
    <comment ref="B2062" authorId="2" shapeId="0" xr:uid="{00000000-0006-0000-0100-000016090000}">
      <text>
        <r>
          <rPr>
            <sz val="11"/>
            <color theme="1"/>
            <rFont val="Calibri"/>
            <family val="2"/>
            <scheme val="minor"/>
          </rPr>
          <t>Introduzca un texto con la finalidad de la contratación</t>
        </r>
      </text>
    </comment>
    <comment ref="C2062" authorId="2" shapeId="0" xr:uid="{00000000-0006-0000-0100-000017090000}">
      <text>
        <r>
          <rPr>
            <sz val="11"/>
            <color theme="1"/>
            <rFont val="Calibri"/>
            <family val="2"/>
            <scheme val="minor"/>
          </rPr>
          <t>Seleccionar un valor del listado</t>
        </r>
      </text>
    </comment>
    <comment ref="D2062" authorId="2" shapeId="0" xr:uid="{00000000-0006-0000-0100-000018090000}">
      <text>
        <r>
          <rPr>
            <sz val="11"/>
            <color theme="1"/>
            <rFont val="Calibri"/>
            <family val="2"/>
            <scheme val="minor"/>
          </rPr>
          <t>Seleccione el tipo de procedimiento</t>
        </r>
      </text>
    </comment>
    <comment ref="E2062" authorId="2" shapeId="0" xr:uid="{00000000-0006-0000-0100-000019090000}">
      <text>
        <r>
          <rPr>
            <sz val="11"/>
            <color theme="1"/>
            <rFont val="Calibri"/>
            <family val="2"/>
            <scheme val="minor"/>
          </rPr>
          <t>Seleccione un valor de la lista</t>
        </r>
      </text>
    </comment>
    <comment ref="F2062" authorId="2" shapeId="0" xr:uid="{00000000-0006-0000-0100-00001A090000}">
      <text>
        <r>
          <rPr>
            <sz val="11"/>
            <color theme="1"/>
            <rFont val="Calibri"/>
            <family val="2"/>
            <scheme val="minor"/>
          </rPr>
          <t>Introduzca el código SNIP</t>
        </r>
      </text>
    </comment>
    <comment ref="C2063" authorId="2" shapeId="0" xr:uid="{00000000-0006-0000-0100-00001B090000}">
      <text>
        <r>
          <rPr>
            <sz val="11"/>
            <color theme="1"/>
            <rFont val="Calibri"/>
            <family val="2"/>
            <scheme val="minor"/>
          </rPr>
          <t>Introduzca la fecha de inicio del proceso, en formato dd-mm-aaaa</t>
        </r>
      </text>
    </comment>
    <comment ref="F2063" authorId="2"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2" shapeId="0" xr:uid="{00000000-0006-0000-0100-00001D090000}">
      <text/>
    </comment>
    <comment ref="C2065" authorId="2" shapeId="0" xr:uid="{00000000-0006-0000-0100-00001E090000}">
      <text>
        <r>
          <rPr>
            <sz val="11"/>
            <color theme="1"/>
            <rFont val="Calibri"/>
            <family val="2"/>
            <scheme val="minor"/>
          </rPr>
          <t>Introduzca la fecha prevista de adjudicación, en formato dd-mm-aaaa</t>
        </r>
      </text>
    </comment>
    <comment ref="F2065" authorId="2" shapeId="0" xr:uid="{00000000-0006-0000-0100-00001F090000}">
      <text/>
    </comment>
    <comment ref="F2066" authorId="2" shapeId="0" xr:uid="{00000000-0006-0000-0100-000020090000}">
      <text/>
    </comment>
    <comment ref="A2068" authorId="2" shapeId="0" xr:uid="{00000000-0006-0000-0100-000021090000}">
      <text>
        <r>
          <rPr>
            <sz val="11"/>
            <color theme="1"/>
            <rFont val="Calibri"/>
            <family val="2"/>
            <scheme val="minor"/>
          </rPr>
          <t>Introduzca un codigo UNSPSC</t>
        </r>
      </text>
    </comment>
    <comment ref="B2068" authorId="2" shapeId="0" xr:uid="{00000000-0006-0000-0100-000022090000}">
      <text>
        <r>
          <rPr>
            <sz val="11"/>
            <color theme="1"/>
            <rFont val="Calibri"/>
            <family val="2"/>
            <scheme val="minor"/>
          </rPr>
          <t>Descripción calculada automáticamente a partir de código del artículo</t>
        </r>
      </text>
    </comment>
    <comment ref="C2068" authorId="2" shapeId="0" xr:uid="{00000000-0006-0000-0100-000023090000}">
      <text>
        <r>
          <rPr>
            <sz val="11"/>
            <color theme="1"/>
            <rFont val="Calibri"/>
            <family val="2"/>
            <scheme val="minor"/>
          </rPr>
          <t>Seleccione un valor de la lista</t>
        </r>
      </text>
    </comment>
    <comment ref="D2068" authorId="2" shapeId="0" xr:uid="{00000000-0006-0000-0100-000024090000}">
      <text>
        <r>
          <rPr>
            <sz val="11"/>
            <color theme="1"/>
            <rFont val="Calibri"/>
            <family val="2"/>
            <scheme val="minor"/>
          </rPr>
          <t>Introduzca un número con dos decimales como máximo. Debe ser igual o mayor a la "Cantidad Real Consumida"</t>
        </r>
      </text>
    </comment>
    <comment ref="E2068" authorId="2" shapeId="0" xr:uid="{00000000-0006-0000-0100-000025090000}">
      <text>
        <r>
          <rPr>
            <sz val="11"/>
            <color theme="1"/>
            <rFont val="Calibri"/>
            <family val="2"/>
            <scheme val="minor"/>
          </rPr>
          <t>Introduzca un número con dos decimales como máximo</t>
        </r>
      </text>
    </comment>
    <comment ref="F2068" authorId="2" shapeId="0" xr:uid="{00000000-0006-0000-0100-000026090000}">
      <text>
        <r>
          <rPr>
            <sz val="11"/>
            <color theme="1"/>
            <rFont val="Calibri"/>
            <family val="2"/>
            <scheme val="minor"/>
          </rPr>
          <t>Monto calculado automáticamente por el sistema</t>
        </r>
      </text>
    </comment>
    <comment ref="A2074" authorId="2" shapeId="0" xr:uid="{00000000-0006-0000-0100-000027090000}">
      <text>
        <r>
          <rPr>
            <sz val="11"/>
            <color theme="1"/>
            <rFont val="Calibri"/>
            <family val="2"/>
            <scheme val="minor"/>
          </rPr>
          <t>Introducir un texto con el nombre o referencia de la contratación</t>
        </r>
      </text>
    </comment>
    <comment ref="B2074" authorId="2" shapeId="0" xr:uid="{00000000-0006-0000-0100-000028090000}">
      <text>
        <r>
          <rPr>
            <sz val="11"/>
            <color theme="1"/>
            <rFont val="Calibri"/>
            <family val="2"/>
            <scheme val="minor"/>
          </rPr>
          <t>Introduzca un texto con la finalidad de la contratación</t>
        </r>
      </text>
    </comment>
    <comment ref="C2074" authorId="2" shapeId="0" xr:uid="{00000000-0006-0000-0100-000029090000}">
      <text>
        <r>
          <rPr>
            <sz val="11"/>
            <color theme="1"/>
            <rFont val="Calibri"/>
            <family val="2"/>
            <scheme val="minor"/>
          </rPr>
          <t>Seleccionar un valor del listado</t>
        </r>
      </text>
    </comment>
    <comment ref="D2074" authorId="2" shapeId="0" xr:uid="{00000000-0006-0000-0100-00002A090000}">
      <text>
        <r>
          <rPr>
            <sz val="11"/>
            <color theme="1"/>
            <rFont val="Calibri"/>
            <family val="2"/>
            <scheme val="minor"/>
          </rPr>
          <t>Seleccione el tipo de procedimiento</t>
        </r>
      </text>
    </comment>
    <comment ref="E2074" authorId="2" shapeId="0" xr:uid="{00000000-0006-0000-0100-00002B090000}">
      <text>
        <r>
          <rPr>
            <sz val="11"/>
            <color theme="1"/>
            <rFont val="Calibri"/>
            <family val="2"/>
            <scheme val="minor"/>
          </rPr>
          <t>Seleccione un valor de la lista</t>
        </r>
      </text>
    </comment>
    <comment ref="F2074" authorId="2" shapeId="0" xr:uid="{00000000-0006-0000-0100-00002C090000}">
      <text>
        <r>
          <rPr>
            <sz val="11"/>
            <color theme="1"/>
            <rFont val="Calibri"/>
            <family val="2"/>
            <scheme val="minor"/>
          </rPr>
          <t>Introduzca el código SNIP</t>
        </r>
      </text>
    </comment>
    <comment ref="C2075" authorId="2" shapeId="0" xr:uid="{00000000-0006-0000-0100-00002D090000}">
      <text>
        <r>
          <rPr>
            <sz val="11"/>
            <color theme="1"/>
            <rFont val="Calibri"/>
            <family val="2"/>
            <scheme val="minor"/>
          </rPr>
          <t>Introduzca la fecha de inicio del proceso, en formato dd-mm-aaaa</t>
        </r>
      </text>
    </comment>
    <comment ref="F2075" authorId="2"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6" authorId="2" shapeId="0" xr:uid="{00000000-0006-0000-0100-00002F090000}">
      <text/>
    </comment>
    <comment ref="C2077" authorId="2" shapeId="0" xr:uid="{00000000-0006-0000-0100-000030090000}">
      <text>
        <r>
          <rPr>
            <sz val="11"/>
            <color theme="1"/>
            <rFont val="Calibri"/>
            <family val="2"/>
            <scheme val="minor"/>
          </rPr>
          <t>Introduzca la fecha prevista de adjudicación, en formato dd-mm-aaaa</t>
        </r>
      </text>
    </comment>
    <comment ref="F2077" authorId="2" shapeId="0" xr:uid="{00000000-0006-0000-0100-000031090000}">
      <text/>
    </comment>
    <comment ref="F2078" authorId="2" shapeId="0" xr:uid="{00000000-0006-0000-0100-000032090000}">
      <text/>
    </comment>
    <comment ref="A2080" authorId="2" shapeId="0" xr:uid="{00000000-0006-0000-0100-000033090000}">
      <text>
        <r>
          <rPr>
            <sz val="11"/>
            <color theme="1"/>
            <rFont val="Calibri"/>
            <family val="2"/>
            <scheme val="minor"/>
          </rPr>
          <t>Introduzca un codigo UNSPSC</t>
        </r>
      </text>
    </comment>
    <comment ref="B2080" authorId="2" shapeId="0" xr:uid="{00000000-0006-0000-0100-000034090000}">
      <text>
        <r>
          <rPr>
            <sz val="11"/>
            <color theme="1"/>
            <rFont val="Calibri"/>
            <family val="2"/>
            <scheme val="minor"/>
          </rPr>
          <t>Descripción calculada automáticamente a partir de código del artículo</t>
        </r>
      </text>
    </comment>
    <comment ref="C2080" authorId="2" shapeId="0" xr:uid="{00000000-0006-0000-0100-000035090000}">
      <text>
        <r>
          <rPr>
            <sz val="11"/>
            <color theme="1"/>
            <rFont val="Calibri"/>
            <family val="2"/>
            <scheme val="minor"/>
          </rPr>
          <t>Seleccione un valor de la lista</t>
        </r>
      </text>
    </comment>
    <comment ref="D2080" authorId="2" shapeId="0" xr:uid="{00000000-0006-0000-0100-000036090000}">
      <text>
        <r>
          <rPr>
            <sz val="11"/>
            <color theme="1"/>
            <rFont val="Calibri"/>
            <family val="2"/>
            <scheme val="minor"/>
          </rPr>
          <t>Introduzca un número con dos decimales como máximo. Debe ser igual o mayor a la "Cantidad Real Consumida"</t>
        </r>
      </text>
    </comment>
    <comment ref="E2080" authorId="2" shapeId="0" xr:uid="{00000000-0006-0000-0100-000037090000}">
      <text>
        <r>
          <rPr>
            <sz val="11"/>
            <color theme="1"/>
            <rFont val="Calibri"/>
            <family val="2"/>
            <scheme val="minor"/>
          </rPr>
          <t>Introduzca un número con dos decimales como máximo</t>
        </r>
      </text>
    </comment>
    <comment ref="F2080" authorId="2" shapeId="0" xr:uid="{00000000-0006-0000-0100-000038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<sst xmlns="http://schemas.openxmlformats.org/spreadsheetml/2006/main" count="25529" uniqueCount="18901">
  <si>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</si>
  <si>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</si>
  <si>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</si>
  <si>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</si>
  <si>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</si>
  <si>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</si>
  <si>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</si>
  <si>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</si>
  <si>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</si>
  <si>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</si>
  <si>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</si>
  <si>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</si>
  <si>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</si>
  <si>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</si>
  <si>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</si>
  <si>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</si>
  <si>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</si>
  <si>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</si>
  <si>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</si>
  <si>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</si>
  <si>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</si>
  <si>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</si>
  <si>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</si>
  <si>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</si>
  <si>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</si>
  <si>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</si>
  <si>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</si>
  <si>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</si>
  <si>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</si>
  <si>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</si>
  <si>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</si>
  <si>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</si>
  <si>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</si>
  <si>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</si>
  <si>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</si>
  <si>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</si>
  <si>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</si>
  <si>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</si>
  <si>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</si>
  <si>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</si>
  <si>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</si>
  <si>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</si>
  <si>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</si>
  <si>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</si>
  <si>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</si>
  <si>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</si>
  <si>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</si>
  <si>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</si>
  <si>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</si>
  <si>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</si>
  <si>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</si>
  <si>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</si>
  <si>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</si>
  <si>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</si>
  <si>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</si>
  <si>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</si>
  <si>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</si>
  <si>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</si>
  <si>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</si>
  <si>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</si>
  <si>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</si>
  <si>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</si>
  <si>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</si>
  <si>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</si>
  <si>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</si>
  <si>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</si>
  <si>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</si>
  <si>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</si>
  <si>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</si>
  <si>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</si>
  <si>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</si>
  <si>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</si>
  <si>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</si>
  <si>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</si>
  <si>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</si>
  <si>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</si>
  <si>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</si>
  <si>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</si>
  <si>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</si>
  <si>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</si>
  <si>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</si>
  <si>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</si>
  <si>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</si>
  <si>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</si>
  <si>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</si>
  <si>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</si>
  <si>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</si>
  <si>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</si>
  <si>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</si>
  <si>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</si>
  <si>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</si>
  <si>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</si>
  <si>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</si>
  <si>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</si>
  <si>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</si>
  <si>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</si>
  <si>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</si>
  <si>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</si>
  <si>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</si>
  <si>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</si>
  <si>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</si>
  <si>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</si>
  <si>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</si>
  <si>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</si>
  <si>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</si>
  <si>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</si>
  <si>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</si>
  <si>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</si>
  <si>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</si>
  <si>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</si>
  <si>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</si>
  <si>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</si>
  <si>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</si>
  <si>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</si>
  <si>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</si>
  <si>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</si>
  <si>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</si>
  <si>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</si>
  <si>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</si>
  <si>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</si>
  <si>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</si>
  <si>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</si>
  <si>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</si>
  <si>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</si>
  <si>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</si>
  <si>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</si>
  <si>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</si>
  <si>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</si>
  <si>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</si>
  <si>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</si>
  <si>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</si>
  <si>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</si>
  <si>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</si>
  <si>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</si>
  <si>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</si>
  <si>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</si>
  <si>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</si>
  <si>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</si>
  <si>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</si>
  <si>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</si>
  <si>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</si>
  <si>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</si>
  <si>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</si>
  <si>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</si>
  <si>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</si>
  <si>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</si>
  <si>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</si>
  <si>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</si>
  <si>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</si>
  <si>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</si>
  <si>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</si>
  <si>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</si>
  <si>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</si>
  <si>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</si>
  <si>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</si>
  <si>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</si>
  <si>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</si>
  <si>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</si>
  <si>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</si>
  <si>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</si>
  <si>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</si>
  <si>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</si>
  <si>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</si>
  <si>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</si>
  <si>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</si>
  <si>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</si>
  <si>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</si>
  <si>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</si>
  <si>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</si>
  <si>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</si>
  <si>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</si>
  <si>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</si>
  <si>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</si>
  <si>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</si>
  <si>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</si>
  <si>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</si>
  <si>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</si>
  <si>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</si>
  <si>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</si>
  <si>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</si>
  <si>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</si>
  <si>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</si>
  <si>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</si>
  <si>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</si>
  <si>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</si>
  <si>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</si>
  <si>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</si>
  <si>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</si>
  <si>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</si>
  <si>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</si>
  <si>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</si>
  <si>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</si>
  <si>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</si>
  <si>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</si>
  <si>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</si>
  <si>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</si>
  <si>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</si>
  <si>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</si>
  <si>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</si>
  <si>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</si>
  <si>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</si>
  <si>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</si>
  <si>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</si>
  <si>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</si>
  <si>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</si>
  <si>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</si>
  <si>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</si>
  <si>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</si>
  <si>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</si>
  <si>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</si>
  <si>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</si>
  <si>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</si>
  <si>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</si>
  <si>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</si>
  <si>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</si>
  <si>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</si>
  <si>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</si>
  <si>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</si>
  <si>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</si>
  <si>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</si>
  <si>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</si>
  <si>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</si>
  <si>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</si>
  <si>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</si>
  <si>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</si>
  <si>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</si>
  <si>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</si>
  <si>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</si>
  <si>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</si>
  <si>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</si>
  <si>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</si>
  <si>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</si>
  <si>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</si>
  <si>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</si>
  <si>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</si>
  <si>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</si>
  <si>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</si>
  <si>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</si>
  <si>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</si>
  <si>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</si>
  <si>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</si>
  <si>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</si>
  <si>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</si>
  <si>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</si>
  <si>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</si>
  <si>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</si>
  <si>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</si>
  <si>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</si>
  <si>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</si>
  <si>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</si>
  <si>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</si>
  <si>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</si>
  <si>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</si>
  <si>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</si>
  <si>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</si>
  <si>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</si>
  <si>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</si>
  <si>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</si>
  <si>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</si>
  <si>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</si>
  <si>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</si>
  <si>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</si>
  <si>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</si>
  <si>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</si>
  <si>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</si>
  <si>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</si>
  <si>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</si>
  <si>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</si>
  <si>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</si>
  <si>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</si>
  <si>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</si>
  <si>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</si>
  <si>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</si>
  <si>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</si>
  <si>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</si>
  <si>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</si>
  <si>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</si>
  <si>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</si>
  <si>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</si>
  <si>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</si>
  <si>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</si>
  <si>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</si>
  <si>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</si>
  <si>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</si>
  <si>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</si>
  <si>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</si>
  <si>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</si>
  <si>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</si>
  <si>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</si>
  <si>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</si>
  <si>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</si>
  <si>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</si>
  <si>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</si>
  <si>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</si>
  <si>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</si>
  <si>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</si>
  <si>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</si>
  <si>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</si>
  <si>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</si>
  <si>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</si>
  <si>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</si>
  <si>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</si>
  <si>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</si>
  <si>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</si>
  <si>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</si>
  <si>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</si>
  <si>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</si>
  <si>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</si>
  <si>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</si>
  <si>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</si>
  <si>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</si>
  <si>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</si>
  <si>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</si>
  <si>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</si>
  <si>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</si>
  <si>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</si>
  <si>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</si>
  <si>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</si>
  <si>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</si>
  <si>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</si>
  <si>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</si>
  <si>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</si>
  <si>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</si>
  <si>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</si>
  <si>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</si>
  <si>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</si>
  <si>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</si>
  <si>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</si>
  <si>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</si>
  <si>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</si>
  <si>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</si>
  <si>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</si>
  <si>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</si>
  <si>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</si>
  <si>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</si>
  <si>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</si>
  <si>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</si>
  <si>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</si>
  <si>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</si>
  <si>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</si>
  <si>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</si>
  <si>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</si>
  <si>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</si>
  <si>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</si>
  <si>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</si>
  <si>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</si>
  <si>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</si>
  <si>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</si>
  <si>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</si>
  <si>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</si>
  <si>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</si>
  <si>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</si>
  <si>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</si>
  <si>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</si>
  <si>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</si>
  <si>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</si>
  <si>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</si>
  <si>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</si>
  <si>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</si>
  <si>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</si>
  <si>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</si>
  <si>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</si>
  <si>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</si>
  <si>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</si>
  <si>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</si>
  <si>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</si>
  <si>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</si>
  <si>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</si>
  <si>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</si>
  <si>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</si>
  <si>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</si>
  <si>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</si>
  <si>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</si>
  <si>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</si>
  <si>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</si>
  <si>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</si>
  <si>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</si>
  <si>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</si>
  <si>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</si>
  <si>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</si>
  <si>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</si>
  <si>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</si>
  <si>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</si>
  <si>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</si>
  <si>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</si>
  <si>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</si>
  <si>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</si>
  <si>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</si>
  <si>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</si>
  <si>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</si>
  <si>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</si>
  <si>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</si>
  <si>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</si>
  <si>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</si>
  <si>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</si>
  <si>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</si>
  <si>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</si>
  <si>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</si>
  <si>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</si>
  <si>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</si>
  <si>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</si>
  <si>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</si>
  <si>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</si>
  <si>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</si>
  <si>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</si>
  <si>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</si>
  <si>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</si>
  <si>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</si>
  <si>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</si>
  <si>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</si>
  <si>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</si>
  <si>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</si>
  <si>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</si>
  <si>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</si>
  <si>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</si>
  <si>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</si>
  <si>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</si>
  <si>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</si>
  <si>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</si>
  <si>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</si>
  <si>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</si>
  <si>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</si>
  <si>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</si>
  <si>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</si>
  <si>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</si>
  <si>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</si>
  <si>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</si>
  <si>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</si>
  <si>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</si>
  <si>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</si>
  <si>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</si>
  <si>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</si>
  <si>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</si>
  <si>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</si>
  <si>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</si>
  <si>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</si>
  <si>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</si>
  <si>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</si>
  <si>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</si>
  <si>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</si>
  <si>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</si>
  <si>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</si>
  <si>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</si>
  <si>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</si>
  <si>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</si>
  <si>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</si>
  <si>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</si>
  <si>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</si>
  <si>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</si>
  <si>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</si>
  <si>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</si>
  <si>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</si>
  <si>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</si>
  <si>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</si>
  <si>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</si>
  <si>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</si>
  <si>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</si>
  <si>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</si>
  <si>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</si>
  <si>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</si>
  <si>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</si>
  <si>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</si>
  <si>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</si>
  <si>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</si>
  <si>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</si>
  <si>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</si>
  <si>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</si>
  <si>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</si>
  <si>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</si>
  <si>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</si>
  <si>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</si>
  <si>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</si>
  <si>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</si>
  <si>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</si>
  <si>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</si>
  <si>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</si>
  <si>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</si>
  <si>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</si>
  <si>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</si>
  <si>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</si>
  <si>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</si>
  <si>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</si>
  <si>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</si>
  <si>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</si>
  <si>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</si>
  <si>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</si>
  <si>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</si>
  <si>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</si>
  <si>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</si>
  <si>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</si>
  <si>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</si>
  <si>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</si>
  <si>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</si>
  <si>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</si>
  <si>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</si>
  <si>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</si>
  <si>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</si>
  <si>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</si>
  <si>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</si>
  <si>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</si>
  <si>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</si>
  <si>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</si>
  <si>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</si>
  <si>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</si>
  <si>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</si>
  <si>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</si>
  <si>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</si>
  <si>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</si>
  <si>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</si>
  <si>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</si>
  <si>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</si>
  <si>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</si>
  <si>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</si>
  <si>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</si>
  <si>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</si>
  <si>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</si>
  <si>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</si>
  <si>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</si>
  <si>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</si>
  <si>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</si>
  <si>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</si>
  <si>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</si>
  <si>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</si>
  <si>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</si>
  <si>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</si>
  <si>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</si>
  <si>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</si>
  <si>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</si>
  <si>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</si>
  <si>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</si>
  <si>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</si>
  <si>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</si>
  <si>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</si>
  <si>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</si>
  <si>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</si>
  <si>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</si>
  <si>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</si>
  <si>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</si>
  <si>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</si>
  <si>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</si>
  <si>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</si>
  <si>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</si>
  <si>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</si>
  <si>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</si>
  <si>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</si>
  <si>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</si>
  <si>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</si>
  <si>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</si>
  <si>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</si>
  <si>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</si>
  <si>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</si>
  <si>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</si>
  <si>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</si>
  <si>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</si>
  <si>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</si>
  <si>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</si>
  <si>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</si>
  <si>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</si>
  <si>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</si>
  <si>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</si>
  <si>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</si>
  <si>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</si>
  <si>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</si>
  <si>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</si>
  <si>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</si>
  <si>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</si>
  <si>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</si>
  <si>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</si>
  <si>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</si>
  <si>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</si>
  <si>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</si>
  <si>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</si>
  <si>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</si>
  <si>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</si>
  <si>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</si>
  <si>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</si>
  <si>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</si>
  <si>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</si>
  <si>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</si>
  <si>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</si>
  <si>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</si>
  <si>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</si>
  <si>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</si>
  <si>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</si>
  <si>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</si>
  <si>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</si>
  <si>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</si>
  <si>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</si>
  <si>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</si>
  <si>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</si>
  <si>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</si>
  <si>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</si>
  <si>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</si>
  <si>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</si>
  <si>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</si>
  <si>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</si>
  <si>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</si>
  <si>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</si>
  <si>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</si>
  <si>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</si>
  <si>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</si>
  <si>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</si>
  <si>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</si>
  <si>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</si>
  <si>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</si>
  <si>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</si>
  <si>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</si>
  <si>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</si>
  <si>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</si>
  <si>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</si>
  <si>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</si>
  <si>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</si>
  <si>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</si>
  <si>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</si>
  <si>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</si>
  <si>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</si>
  <si>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</si>
  <si>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</si>
  <si>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</si>
  <si>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</si>
  <si>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</si>
  <si>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</si>
  <si>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</si>
  <si>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</si>
  <si>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</si>
  <si>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</si>
  <si>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</si>
  <si>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</si>
  <si>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</si>
  <si>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</si>
  <si>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</si>
  <si>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</si>
  <si>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</si>
  <si>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</si>
  <si>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</si>
  <si>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</si>
  <si>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</si>
  <si>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</si>
  <si>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</si>
  <si>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</si>
  <si>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</si>
  <si>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</si>
  <si>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</si>
  <si>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</si>
  <si>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</si>
  <si>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</si>
  <si>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</si>
  <si>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</si>
  <si>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</si>
  <si>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</si>
  <si>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</si>
  <si>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</si>
  <si>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</si>
  <si>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</si>
  <si>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</si>
  <si>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</si>
  <si>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</si>
  <si>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</si>
  <si>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</si>
  <si>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</si>
  <si>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</si>
  <si>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</si>
  <si>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</si>
  <si>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</si>
  <si>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</si>
  <si>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</si>
  <si>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</si>
  <si>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</si>
  <si>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</si>
  <si>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</si>
  <si>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</si>
  <si>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</si>
  <si>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</si>
  <si>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</si>
  <si>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</si>
  <si>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</si>
  <si>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</si>
  <si>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</si>
  <si>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</si>
  <si>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</si>
  <si>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</si>
  <si>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</si>
  <si>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</si>
  <si>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</si>
  <si>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</si>
  <si>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</si>
  <si>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</si>
  <si>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</si>
  <si>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</si>
  <si>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</si>
  <si>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</si>
  <si>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</si>
  <si>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</si>
  <si>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</si>
  <si>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</si>
  <si>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</si>
  <si>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</si>
  <si>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</si>
  <si>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</si>
  <si>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</si>
  <si>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</si>
  <si>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</si>
  <si>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</si>
  <si>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</si>
  <si>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</si>
  <si>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</si>
  <si>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</si>
  <si>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</si>
  <si>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</si>
  <si>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</si>
  <si>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</si>
  <si>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</si>
  <si>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</si>
  <si>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</si>
  <si>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</si>
  <si>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</si>
  <si>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</si>
  <si>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</si>
  <si>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</si>
  <si>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</si>
  <si>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</si>
  <si>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</si>
  <si>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</si>
  <si>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</si>
  <si>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</si>
  <si>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</si>
  <si>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</si>
  <si>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</si>
  <si>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</si>
  <si>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</si>
  <si>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</si>
  <si>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</si>
  <si>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</si>
  <si>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</si>
  <si>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</si>
  <si>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</si>
  <si>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</si>
  <si>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</si>
  <si>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</si>
  <si>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</si>
  <si>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</si>
  <si>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</si>
  <si>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</si>
  <si>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</si>
  <si>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</si>
  <si>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</si>
  <si>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</si>
  <si>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</si>
  <si>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</si>
  <si>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</si>
  <si>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</si>
  <si>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</si>
  <si>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</si>
  <si>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</si>
  <si>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</si>
  <si>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</si>
  <si>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</si>
  <si>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</si>
  <si>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</si>
  <si>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</si>
  <si>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</si>
  <si>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</si>
  <si>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</si>
  <si>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</si>
  <si>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</si>
  <si>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</si>
  <si>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</si>
  <si>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</si>
  <si>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</si>
  <si>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</si>
  <si>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</si>
  <si>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</si>
  <si>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</si>
  <si>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</si>
  <si>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</si>
  <si>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</si>
  <si>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</si>
  <si>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</si>
  <si>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</si>
  <si>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</si>
  <si>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</si>
  <si>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</si>
  <si>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</si>
  <si>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</si>
  <si>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</si>
  <si>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</si>
  <si>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</si>
  <si>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</si>
  <si>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</si>
  <si>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</si>
  <si>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</si>
  <si>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</si>
  <si>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</si>
  <si>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</si>
  <si>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</si>
  <si>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</si>
  <si>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</si>
  <si>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</si>
  <si>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</si>
  <si>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</si>
  <si>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</si>
  <si>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</si>
  <si>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</si>
  <si>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</si>
  <si>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</si>
  <si>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</si>
  <si>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</si>
  <si>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</si>
  <si>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</si>
  <si>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</si>
  <si>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</si>
  <si>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</si>
  <si>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</si>
  <si>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</si>
  <si>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</si>
  <si>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</si>
  <si>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</si>
  <si>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</si>
  <si>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</si>
  <si>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</si>
  <si>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</si>
  <si>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</si>
  <si>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</si>
  <si>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</si>
  <si>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</si>
  <si>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</si>
  <si>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</si>
  <si>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</si>
  <si>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</si>
  <si>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</si>
  <si>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</si>
  <si>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</si>
  <si>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</si>
  <si>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</si>
  <si>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</si>
  <si>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</si>
  <si>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</si>
  <si>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</si>
  <si>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</si>
  <si>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</si>
  <si>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</si>
  <si>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</si>
  <si>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</si>
  <si>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</si>
  <si>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</si>
  <si>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</si>
  <si>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</si>
  <si>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</si>
  <si>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</si>
  <si>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</si>
  <si>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</si>
  <si>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</si>
  <si>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</si>
  <si>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</si>
  <si>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</si>
  <si>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</si>
  <si>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</si>
  <si>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</si>
  <si>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</si>
  <si>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</si>
  <si>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</si>
  <si>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</si>
  <si>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</si>
  <si>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</si>
  <si>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</si>
  <si>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</si>
  <si>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</si>
  <si>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</si>
  <si>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</si>
  <si>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</si>
  <si>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</si>
  <si>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</si>
  <si>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</si>
  <si>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</si>
  <si>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</si>
  <si>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</si>
  <si>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</si>
  <si>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</si>
  <si>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</si>
  <si>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</si>
  <si>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</si>
  <si>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</si>
  <si>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</si>
  <si>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</si>
  <si>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</si>
  <si>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</si>
  <si>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</si>
  <si>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</si>
  <si>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</si>
  <si>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</si>
  <si>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</si>
  <si>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</si>
  <si>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</si>
  <si>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</si>
  <si>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</si>
  <si>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</si>
  <si>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</si>
  <si>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</si>
  <si>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</si>
  <si>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</si>
  <si>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</si>
  <si>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</si>
  <si>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</si>
  <si>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</si>
  <si>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</si>
  <si>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</si>
  <si>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</si>
  <si>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</si>
  <si>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</si>
  <si>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</si>
  <si>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</si>
  <si>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</si>
  <si>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</si>
  <si>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</si>
  <si>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</si>
  <si>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</si>
  <si>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</si>
  <si>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</si>
  <si>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</si>
  <si>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</si>
  <si>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</si>
  <si>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</si>
  <si>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</si>
  <si>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</si>
  <si>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</si>
  <si>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</si>
  <si>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</si>
  <si>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</si>
  <si>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</si>
  <si>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</si>
  <si>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</si>
  <si>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</si>
  <si>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</si>
  <si>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</si>
  <si>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</si>
  <si>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</si>
  <si>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</si>
  <si>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</si>
  <si>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</si>
  <si>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</si>
  <si>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</si>
  <si>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</si>
  <si>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</si>
  <si>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</si>
  <si>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</si>
  <si>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</si>
  <si>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</si>
  <si>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</si>
  <si>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</si>
  <si>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</si>
  <si>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</si>
  <si>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</si>
  <si>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</si>
  <si>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</si>
  <si>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</si>
  <si>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</si>
  <si>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</si>
  <si>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</si>
  <si>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</si>
  <si>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</si>
  <si>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</si>
  <si>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</si>
  <si>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</si>
  <si>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</si>
  <si>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</si>
  <si>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</si>
  <si>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</si>
  <si>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</si>
  <si>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</si>
  <si>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</si>
  <si>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</si>
  <si>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</si>
  <si>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</si>
  <si>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</si>
  <si>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</si>
  <si>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</si>
  <si>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</si>
  <si>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</si>
  <si>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</si>
  <si>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</si>
  <si>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</si>
  <si>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</si>
  <si>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</si>
  <si>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</si>
  <si>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</si>
  <si>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</si>
  <si>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</si>
  <si>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</si>
  <si>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</si>
  <si>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</si>
  <si>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</si>
  <si>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</si>
  <si>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</si>
  <si>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</si>
  <si>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</si>
  <si>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</si>
  <si>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</si>
  <si>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</si>
  <si>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</si>
  <si>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</si>
  <si>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</si>
  <si>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</si>
  <si>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</si>
  <si>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</si>
  <si>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</si>
  <si>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</si>
  <si>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</si>
  <si>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</si>
  <si>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</si>
  <si>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</si>
  <si>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</si>
  <si>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</si>
  <si>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</si>
  <si>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</si>
  <si>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</si>
  <si>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</si>
  <si>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</si>
  <si>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</si>
  <si>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</si>
  <si>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</si>
  <si>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</si>
  <si>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</si>
  <si>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</si>
  <si>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</si>
  <si>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</si>
  <si>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</si>
  <si>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</si>
  <si>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</si>
  <si>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</si>
  <si>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</si>
  <si>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</si>
  <si>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</si>
  <si>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</si>
  <si>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</si>
  <si>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</si>
  <si>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</si>
  <si>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</si>
  <si>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</si>
  <si>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</si>
  <si>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</si>
  <si>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</si>
  <si>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</si>
  <si>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</si>
  <si>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</si>
  <si>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</si>
  <si>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</si>
  <si>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</si>
  <si>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</si>
  <si>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</si>
  <si>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</si>
  <si>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</si>
  <si>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</si>
  <si>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</si>
  <si>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</si>
  <si>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</si>
  <si>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</si>
  <si>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</si>
  <si>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</si>
  <si>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</si>
  <si>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</si>
  <si>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</si>
  <si>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</si>
  <si>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</si>
  <si>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</si>
  <si>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</si>
  <si>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</si>
  <si>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</si>
  <si>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</si>
  <si>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</si>
  <si>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</si>
  <si>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</si>
  <si>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</si>
  <si>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</si>
  <si>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</si>
  <si>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</si>
  <si>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</si>
  <si>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</si>
  <si>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</si>
  <si>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</si>
  <si>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</si>
  <si>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</si>
  <si>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</si>
  <si>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</si>
  <si>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</si>
  <si>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</si>
  <si>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</si>
  <si>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</si>
  <si>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</si>
  <si>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</si>
  <si>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</si>
  <si>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</si>
  <si>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</si>
  <si>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</si>
  <si>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</si>
  <si>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</si>
  <si>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</si>
  <si>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</si>
  <si>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</si>
  <si>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</si>
  <si>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</si>
  <si>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</si>
  <si>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</si>
  <si>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</si>
  <si>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</si>
  <si>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</si>
  <si>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</si>
  <si>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</si>
  <si>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</si>
  <si>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</si>
  <si>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</si>
  <si>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</si>
  <si>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</si>
  <si>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</si>
  <si>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</si>
  <si>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</si>
  <si>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</si>
  <si>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</si>
  <si>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</si>
  <si>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</si>
  <si>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</si>
  <si>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</si>
  <si>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</si>
  <si>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</si>
  <si>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</si>
  <si>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</si>
  <si>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</si>
  <si>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</si>
  <si>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</si>
  <si>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</si>
  <si>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</si>
  <si>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</si>
  <si>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</si>
  <si>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</si>
  <si>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</si>
  <si>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</si>
  <si>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</si>
  <si>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</si>
  <si>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</si>
  <si>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</si>
  <si>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</si>
  <si>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</si>
  <si>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</si>
  <si>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</si>
  <si>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</si>
  <si>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</si>
  <si>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</si>
  <si>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</si>
  <si>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</si>
  <si>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</si>
  <si>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</si>
  <si>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</si>
  <si>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</si>
  <si>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</si>
  <si>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</si>
  <si>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</si>
  <si>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</si>
  <si>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</si>
  <si>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</si>
  <si>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</si>
  <si>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</si>
  <si>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</si>
  <si>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</si>
  <si>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</si>
  <si>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</si>
  <si>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</si>
  <si>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</si>
  <si>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</si>
  <si>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</si>
  <si>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</si>
  <si>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</si>
  <si>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</si>
  <si>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</si>
  <si>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</si>
  <si>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</si>
  <si>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</si>
  <si>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</si>
  <si>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</si>
  <si>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</si>
  <si>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</si>
  <si>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</si>
  <si>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</si>
  <si>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</si>
  <si>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</si>
  <si>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</si>
  <si>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</si>
  <si>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</si>
  <si>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</si>
  <si>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</si>
  <si>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</si>
  <si>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</si>
  <si>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</si>
  <si>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</si>
  <si>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</si>
  <si>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</si>
  <si>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</si>
  <si>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</si>
  <si>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</si>
  <si>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</si>
  <si>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</si>
  <si>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</si>
  <si>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</si>
  <si>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</si>
  <si>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</si>
  <si>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</si>
  <si>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</si>
  <si>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</si>
  <si>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</si>
  <si>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</si>
  <si>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</si>
  <si>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</si>
  <si>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</si>
  <si>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</si>
  <si>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</si>
  <si>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</si>
  <si>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</si>
  <si>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</si>
  <si>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</si>
  <si>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</si>
  <si>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</si>
  <si>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</si>
  <si>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</si>
  <si>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</si>
  <si>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</si>
  <si>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</si>
  <si>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</si>
  <si>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</si>
  <si>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</si>
  <si>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</si>
  <si>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</si>
  <si>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</si>
  <si>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</si>
  <si>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</si>
  <si>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</si>
  <si>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</si>
  <si>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</si>
  <si>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</si>
  <si>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</si>
  <si>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</si>
  <si>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</si>
  <si>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</si>
  <si>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</si>
  <si>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</si>
  <si>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</si>
  <si>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</si>
  <si>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</si>
  <si>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</si>
  <si>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</si>
  <si>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</si>
  <si>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</si>
  <si>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</si>
  <si>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</si>
  <si>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</si>
  <si>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</si>
  <si>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</si>
  <si>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</si>
  <si>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</si>
  <si>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</si>
  <si>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</si>
  <si>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</si>
  <si>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</si>
  <si>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</si>
  <si>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</si>
  <si>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</si>
  <si>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</si>
  <si>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</si>
  <si>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</si>
  <si>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</si>
  <si>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</si>
  <si>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</si>
  <si>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</si>
  <si>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</si>
  <si>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</si>
  <si>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</si>
  <si>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</si>
  <si>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</si>
  <si>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</si>
  <si>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</si>
  <si>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</si>
  <si>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</si>
  <si>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</si>
  <si>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</si>
  <si>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</si>
  <si>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</si>
  <si>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</si>
  <si>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</si>
  <si>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</si>
  <si>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</si>
  <si>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</si>
  <si>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</si>
  <si>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</si>
  <si>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</si>
  <si>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</si>
  <si>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</si>
  <si>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</si>
  <si>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</si>
  <si>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</si>
  <si>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</si>
  <si>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</si>
  <si>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</si>
  <si>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</si>
  <si>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</si>
  <si>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</si>
  <si>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</si>
  <si>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</si>
  <si>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</si>
  <si>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</si>
  <si>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</si>
  <si>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</si>
  <si>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</si>
  <si>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</si>
  <si>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</si>
  <si>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</si>
  <si>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</si>
  <si>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</si>
  <si>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</si>
  <si>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</si>
  <si>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</si>
  <si>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</si>
  <si>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</si>
  <si>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</si>
  <si>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</si>
  <si>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</si>
  <si>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</si>
  <si>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</si>
  <si>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</si>
  <si>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</si>
  <si>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</si>
  <si>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</si>
  <si>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</si>
  <si>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</si>
  <si>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</si>
  <si>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</si>
  <si>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</si>
  <si>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</si>
  <si>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</si>
  <si>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</si>
  <si>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</si>
  <si>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</si>
  <si>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</si>
  <si>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</si>
  <si>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</si>
  <si>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</si>
  <si>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</si>
  <si>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</si>
  <si>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</si>
  <si>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</si>
  <si>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</si>
  <si>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</si>
  <si>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</si>
  <si>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</si>
  <si>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</si>
  <si>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</si>
  <si>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</si>
  <si>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</si>
  <si>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</si>
  <si>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</si>
  <si>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</si>
  <si>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</si>
  <si>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</si>
  <si>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</si>
  <si>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</si>
  <si>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</si>
  <si>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</si>
  <si>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</si>
  <si>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</si>
  <si>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</si>
  <si>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</si>
  <si>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</si>
  <si>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</si>
  <si>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</si>
  <si>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</si>
  <si>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</si>
  <si>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</si>
  <si>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</si>
  <si>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</si>
  <si>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</si>
  <si>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</si>
  <si>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</si>
  <si>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</si>
  <si>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</si>
  <si>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</si>
  <si>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</si>
  <si>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</si>
  <si>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</si>
  <si>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</si>
  <si>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</si>
  <si>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</si>
  <si>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</si>
  <si>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</si>
  <si>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</si>
  <si>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</si>
  <si>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</si>
  <si>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</si>
  <si>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</si>
  <si>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</si>
  <si>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</si>
  <si>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</si>
  <si>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</si>
  <si>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</si>
  <si>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</si>
  <si>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</si>
  <si>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</si>
  <si>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</si>
  <si>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</si>
  <si>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</si>
  <si>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</si>
  <si>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</si>
  <si>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</si>
  <si>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</si>
  <si>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</si>
  <si>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</si>
  <si>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</si>
  <si>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</si>
  <si>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</si>
  <si>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</si>
  <si>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</si>
  <si>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</si>
  <si>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</si>
  <si>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</si>
  <si>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</si>
  <si>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</si>
  <si>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</si>
  <si>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</si>
  <si>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</si>
  <si>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</si>
  <si>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</si>
  <si>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</si>
  <si>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</si>
  <si>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</si>
  <si>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</si>
  <si>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</si>
  <si>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</si>
  <si>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</si>
  <si>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</si>
  <si>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</si>
  <si>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</si>
  <si>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</si>
  <si>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</si>
  <si>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</si>
  <si>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</si>
  <si>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</si>
  <si>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</si>
  <si>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</si>
  <si>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</si>
  <si>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</si>
  <si>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</si>
  <si>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</si>
  <si>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</si>
  <si>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</si>
  <si>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</si>
  <si>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</si>
  <si>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</si>
  <si>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</si>
  <si>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</si>
  <si>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</si>
  <si>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</si>
  <si>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</si>
  <si>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</si>
  <si>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</si>
  <si>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</si>
  <si>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</si>
  <si>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</si>
  <si>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</si>
  <si>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</si>
  <si>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</si>
  <si>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</si>
  <si>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</si>
  <si>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</si>
  <si>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</si>
  <si>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</si>
  <si>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</si>
  <si>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</si>
  <si>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</si>
  <si>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</si>
  <si>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</si>
  <si>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</si>
  <si>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</si>
  <si>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</si>
  <si>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</si>
  <si>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</si>
  <si>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</si>
  <si>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</si>
  <si>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</si>
  <si>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</si>
  <si>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</si>
  <si>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</si>
  <si>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</si>
  <si>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</si>
  <si>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</si>
  <si>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</si>
  <si>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</si>
  <si>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</si>
  <si>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</si>
  <si>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</si>
  <si>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</si>
  <si>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</si>
  <si>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</si>
  <si>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</si>
  <si>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</si>
  <si>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</si>
  <si>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</si>
  <si>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</si>
  <si>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</si>
  <si>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</si>
  <si>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</si>
  <si>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</si>
  <si>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</si>
  <si>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</si>
  <si>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</si>
  <si>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</si>
  <si>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</si>
  <si>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</si>
  <si>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</si>
  <si>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</si>
  <si>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</si>
  <si>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</si>
  <si>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</si>
  <si>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</si>
  <si>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</si>
  <si>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</si>
  <si>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</si>
  <si>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</si>
  <si>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</si>
  <si>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</si>
  <si>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</si>
  <si>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</si>
  <si>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</si>
  <si>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</si>
  <si>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</si>
  <si>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</si>
  <si>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</si>
  <si>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</si>
  <si>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</si>
  <si>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</si>
  <si>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</si>
  <si>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</si>
  <si>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</si>
  <si>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</si>
  <si>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</si>
  <si>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</si>
  <si>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</si>
  <si>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</si>
  <si>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</si>
  <si>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</si>
  <si>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</si>
  <si>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</si>
  <si>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</si>
  <si>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</si>
  <si>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</si>
  <si>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</si>
  <si>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</si>
  <si>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</si>
  <si>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</si>
  <si>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</si>
  <si>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</si>
  <si>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</si>
  <si>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</si>
  <si>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</si>
  <si>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</si>
  <si>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</si>
  <si>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</si>
  <si>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</si>
  <si>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</si>
  <si>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</si>
  <si>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</si>
  <si>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</si>
  <si>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</si>
  <si>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</si>
  <si>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</si>
  <si>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</si>
  <si>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</si>
  <si>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</si>
  <si>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</si>
  <si>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</si>
  <si>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</si>
  <si>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</si>
  <si>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</si>
  <si>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</si>
  <si>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</si>
  <si>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</si>
  <si>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</si>
  <si>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</si>
  <si>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</si>
  <si>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</si>
  <si>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</si>
  <si>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</si>
  <si>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</si>
  <si>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</si>
  <si>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</si>
  <si>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</si>
  <si>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</si>
  <si>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</si>
  <si>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</si>
  <si>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</si>
  <si>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</si>
  <si>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</si>
  <si>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</si>
  <si>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</si>
  <si>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</si>
  <si>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</si>
  <si>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</si>
  <si>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</si>
  <si>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</si>
  <si>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</si>
  <si>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</si>
  <si>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</si>
  <si>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</si>
  <si>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</si>
  <si>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</si>
  <si>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</si>
  <si>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</si>
  <si>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</si>
  <si>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</si>
  <si>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</si>
  <si>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</si>
  <si>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</si>
  <si>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</si>
  <si>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</si>
  <si>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</si>
  <si>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</si>
  <si>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</si>
  <si>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</si>
  <si>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</si>
  <si>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</si>
  <si>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</si>
  <si>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</si>
  <si>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</si>
  <si>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</si>
  <si>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</si>
  <si>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</si>
  <si>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</si>
  <si>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</si>
  <si>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</si>
  <si>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</si>
  <si>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</si>
  <si>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</si>
  <si>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</si>
  <si>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</si>
  <si>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</si>
  <si>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</si>
  <si>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</si>
  <si>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</si>
  <si>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</si>
  <si>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</si>
  <si>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</si>
  <si>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</si>
  <si>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</si>
  <si>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</si>
  <si>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</si>
  <si>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</si>
  <si>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</si>
  <si>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</si>
  <si>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</si>
  <si>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</si>
  <si>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</si>
  <si>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</si>
  <si>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</si>
  <si>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</si>
  <si>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</si>
  <si>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</si>
  <si>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</si>
  <si>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</si>
  <si>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</si>
  <si>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</si>
  <si>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</si>
  <si>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</si>
  <si>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</si>
  <si>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</si>
  <si>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</si>
  <si>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</si>
  <si>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</si>
  <si>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</si>
  <si>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</si>
  <si>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</si>
  <si>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</si>
  <si>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</si>
  <si>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</si>
  <si>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</si>
  <si>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</si>
  <si>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</si>
  <si>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</si>
  <si>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</si>
  <si>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</si>
  <si>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</si>
  <si>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</si>
  <si>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</si>
  <si>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</si>
  <si>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</si>
  <si>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</si>
  <si>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</si>
  <si>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</si>
  <si>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</si>
  <si>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</si>
  <si>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</si>
  <si>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</si>
  <si>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</si>
  <si>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</si>
  <si>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</si>
  <si>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</si>
  <si>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</si>
  <si>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</si>
  <si>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</si>
  <si>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</si>
  <si>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</si>
  <si>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</si>
  <si>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</si>
  <si>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</si>
  <si>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</si>
  <si>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</si>
  <si>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</si>
  <si>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</si>
  <si>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</si>
  <si>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</si>
  <si>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</si>
  <si>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</si>
  <si>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</si>
  <si>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</si>
  <si>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</si>
  <si>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</si>
  <si>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</si>
  <si>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</si>
  <si>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</si>
  <si>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</si>
  <si>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</si>
  <si>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</si>
  <si>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</si>
  <si>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</si>
  <si>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</si>
  <si>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</si>
  <si>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</si>
  <si>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</si>
  <si>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</si>
  <si>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</si>
  <si>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</si>
  <si>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</si>
  <si>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</si>
  <si>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</si>
  <si>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</si>
  <si>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</si>
  <si>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</si>
  <si>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</si>
  <si>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</si>
  <si>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</si>
  <si>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</si>
  <si>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</si>
  <si>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</si>
  <si>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</si>
  <si>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</si>
  <si>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</si>
  <si>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</si>
  <si>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</si>
  <si>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</si>
  <si>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</si>
  <si>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</si>
  <si>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</si>
  <si>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</si>
  <si>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</si>
  <si>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</si>
  <si>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</si>
  <si>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</si>
  <si>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</si>
  <si>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</si>
  <si>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</si>
  <si>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</si>
  <si>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</si>
  <si>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</si>
  <si>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</si>
  <si>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</si>
  <si>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</si>
  <si>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</si>
  <si>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</si>
  <si>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</si>
  <si>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</si>
  <si>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</si>
  <si>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</si>
  <si>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</si>
  <si>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</si>
  <si>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</si>
  <si>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</si>
  <si>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</si>
  <si>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</si>
  <si>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</si>
  <si>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</si>
  <si>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</si>
  <si>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</si>
  <si>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</si>
  <si>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</si>
  <si>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</si>
  <si>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</si>
  <si>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</si>
  <si>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</si>
  <si>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</si>
  <si>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</si>
  <si>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</si>
  <si>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</si>
  <si>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</si>
  <si>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</si>
  <si>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</si>
  <si>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</si>
  <si>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</si>
  <si>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</si>
  <si>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</si>
  <si>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</si>
  <si>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</si>
  <si>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</si>
  <si>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</si>
  <si>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</si>
  <si>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</si>
  <si>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</si>
  <si>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</si>
  <si>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</si>
  <si>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</si>
  <si>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</si>
  <si>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</si>
  <si>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</si>
  <si>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</si>
  <si>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</si>
  <si>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</si>
  <si>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</si>
  <si>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</si>
  <si>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</si>
  <si>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</si>
  <si>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</si>
  <si>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</si>
  <si>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</si>
  <si>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</si>
  <si>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</si>
  <si>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</si>
  <si>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</si>
  <si>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</si>
  <si>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</si>
  <si>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</si>
  <si>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</si>
  <si>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</si>
  <si>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</si>
  <si>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</si>
  <si>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</si>
  <si>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</si>
  <si>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</si>
  <si>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</si>
  <si>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</si>
  <si>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</si>
  <si>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</si>
  <si>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</si>
  <si>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</si>
  <si>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</si>
  <si>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</si>
  <si>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</si>
  <si>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</si>
  <si>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</si>
  <si>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</si>
  <si>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</si>
  <si>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</si>
  <si>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</si>
  <si>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</si>
  <si>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</si>
  <si>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</si>
  <si>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</si>
  <si>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</si>
  <si>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</si>
  <si>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</si>
  <si>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</si>
  <si>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</si>
  <si>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</si>
  <si>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</si>
  <si>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</si>
  <si>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</si>
  <si>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</si>
  <si>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</si>
  <si>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</si>
  <si>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</si>
  <si>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</si>
  <si>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</si>
  <si>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</si>
  <si>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</si>
  <si>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</si>
  <si>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</si>
  <si>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</si>
  <si>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</si>
  <si>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</si>
  <si>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</si>
  <si>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</si>
  <si>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</si>
  <si>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</si>
  <si>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</si>
  <si>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</si>
  <si>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</si>
  <si>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</si>
  <si>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</si>
  <si>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</si>
  <si>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</si>
  <si>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</si>
  <si>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</si>
  <si>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</si>
  <si>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</si>
  <si>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</si>
  <si>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</si>
  <si>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</si>
  <si>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</si>
  <si>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</si>
  <si>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</si>
  <si>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</si>
  <si>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</si>
  <si>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</si>
  <si>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</si>
  <si>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</si>
  <si>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</si>
  <si>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</si>
  <si>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</si>
  <si>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</si>
  <si>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</si>
  <si>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</si>
  <si>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</si>
  <si>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</si>
  <si>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</si>
  <si>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</si>
  <si>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</si>
  <si>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</si>
  <si>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</si>
  <si>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</si>
  <si>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</si>
  <si>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</si>
  <si>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</si>
  <si>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</si>
  <si>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</si>
  <si>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</si>
  <si>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</si>
  <si>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</si>
  <si>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</si>
  <si>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</si>
  <si>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</si>
  <si>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</si>
  <si>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</si>
  <si>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</si>
  <si>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</si>
  <si>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</si>
  <si>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</si>
  <si>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</si>
  <si>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</si>
  <si>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</si>
  <si>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</si>
  <si>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</si>
  <si>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</si>
  <si>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</si>
  <si>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</si>
  <si>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</si>
  <si>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</si>
  <si>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</si>
  <si>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</si>
  <si>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</si>
  <si>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</si>
  <si>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</si>
  <si>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</si>
  <si>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</si>
  <si>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</si>
  <si>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</si>
  <si>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</si>
  <si>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</si>
  <si>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</si>
  <si>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</si>
  <si>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</si>
  <si>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</si>
  <si>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</si>
  <si>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</si>
  <si>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</si>
  <si>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</si>
  <si>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</si>
  <si>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</si>
  <si>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</si>
  <si>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</si>
  <si>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</si>
  <si>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</si>
  <si>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</si>
  <si>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</si>
  <si>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</si>
  <si>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</si>
  <si>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</si>
  <si>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</si>
  <si>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</si>
  <si>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</si>
  <si>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</si>
  <si>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</si>
  <si>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</si>
  <si>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</si>
  <si>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</si>
  <si>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</si>
  <si>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</si>
  <si>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</si>
  <si>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</si>
  <si>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</si>
  <si>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</si>
  <si>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</si>
  <si>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</si>
  <si>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</si>
  <si>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</si>
  <si>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</si>
  <si>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</si>
  <si>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</si>
  <si>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</si>
  <si>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</si>
  <si>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</si>
  <si>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</si>
  <si>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</si>
  <si>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</si>
  <si>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</si>
  <si>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</si>
  <si>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</si>
  <si>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</si>
  <si>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</si>
  <si>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</si>
  <si>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</si>
  <si>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</si>
  <si>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</si>
  <si>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</si>
  <si>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</si>
  <si>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</si>
  <si>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</si>
  <si>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</si>
  <si>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</si>
  <si>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</si>
  <si>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</si>
  <si>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</si>
  <si>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</si>
  <si>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</si>
  <si>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</si>
  <si>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</si>
  <si>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</si>
  <si>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</si>
  <si>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</si>
  <si>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</si>
  <si>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</si>
  <si>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</si>
  <si>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</si>
  <si>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</si>
  <si>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</si>
  <si>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</si>
  <si>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</si>
  <si>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</si>
  <si>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</si>
  <si>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</si>
  <si>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</si>
  <si>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</si>
  <si>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</si>
  <si>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</si>
  <si>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</si>
  <si>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</si>
  <si>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</si>
  <si>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</si>
  <si>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</si>
  <si>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</si>
  <si>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</si>
  <si>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</si>
  <si>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</si>
  <si>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</si>
  <si>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</si>
  <si>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</si>
  <si>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</si>
  <si>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</si>
  <si>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</si>
  <si>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</si>
  <si>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</si>
  <si>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</si>
  <si>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</si>
  <si>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</si>
  <si>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</si>
  <si>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</si>
  <si>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</si>
  <si>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</si>
  <si>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</si>
  <si>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</si>
  <si>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</si>
  <si>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</si>
  <si>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</si>
  <si>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</si>
  <si>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</si>
  <si>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</si>
  <si>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</si>
  <si>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</si>
  <si>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</si>
  <si>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</si>
  <si>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</si>
  <si>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</si>
  <si>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</si>
  <si>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</si>
  <si>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</si>
  <si>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</si>
  <si>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</si>
  <si>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</si>
  <si>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</si>
  <si>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</si>
  <si>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</si>
  <si>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</si>
  <si>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</si>
  <si>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</si>
  <si>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</si>
  <si>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</si>
  <si>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</si>
  <si>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</si>
  <si>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</si>
  <si>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</si>
  <si>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</si>
  <si>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</si>
  <si>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</si>
  <si>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</si>
  <si>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</si>
  <si>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</si>
  <si>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</si>
  <si>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</si>
  <si>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</si>
  <si>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</si>
  <si>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</si>
  <si>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</si>
  <si>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</si>
  <si>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</si>
  <si>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</si>
  <si>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</si>
  <si>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</si>
  <si>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</si>
  <si>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</si>
  <si>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</si>
  <si>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</si>
  <si>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</si>
  <si>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</si>
  <si>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</si>
  <si>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</si>
  <si>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</si>
  <si>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</si>
  <si>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</si>
  <si>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</si>
  <si>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</si>
  <si>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</si>
  <si>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</si>
  <si>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</si>
  <si>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</si>
  <si>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</si>
  <si>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</si>
  <si>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</si>
  <si>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</si>
  <si>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</si>
  <si>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</si>
  <si>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</si>
  <si>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</si>
  <si>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</si>
  <si>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</si>
  <si>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</si>
  <si>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</si>
  <si>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</si>
  <si>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</si>
  <si>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</si>
  <si>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</si>
  <si>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</si>
  <si>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</si>
  <si>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</si>
  <si>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</si>
  <si>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</si>
  <si>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</si>
  <si>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</si>
  <si>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</si>
  <si>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</si>
  <si>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</si>
  <si>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</si>
  <si>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</si>
  <si>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</si>
  <si>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</si>
  <si>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</si>
  <si>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</si>
  <si>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</si>
  <si>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</si>
  <si>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</si>
  <si>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</si>
  <si>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</si>
  <si>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</si>
  <si>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</si>
  <si>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</si>
  <si>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</si>
  <si>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</si>
  <si>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</si>
  <si>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</si>
  <si>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</si>
  <si>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</si>
  <si>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</si>
  <si>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</si>
  <si>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</si>
  <si>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</si>
  <si>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</si>
  <si>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</si>
  <si>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</si>
  <si>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</si>
  <si>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</si>
  <si>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</si>
  <si>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</si>
  <si>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</si>
  <si>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</si>
  <si>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</si>
  <si>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</si>
  <si>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</si>
  <si>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</si>
  <si>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</si>
  <si>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</si>
  <si>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</si>
  <si>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</si>
  <si>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</si>
  <si>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</si>
  <si>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</si>
  <si>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</si>
  <si>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</si>
  <si>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</si>
  <si>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</si>
  <si>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</si>
  <si>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</si>
  <si>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</si>
  <si>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</si>
  <si>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</si>
  <si>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</si>
  <si>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</si>
  <si>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</si>
  <si>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</si>
  <si>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</si>
  <si>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</si>
  <si>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</si>
  <si>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</si>
  <si>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</si>
  <si>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</si>
  <si>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</si>
  <si>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</si>
  <si>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</si>
  <si>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</si>
  <si>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</si>
  <si>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</si>
  <si>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</si>
  <si>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</si>
  <si>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</si>
  <si>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</si>
  <si>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</si>
  <si>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</si>
  <si>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</si>
  <si>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</si>
  <si>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</si>
  <si>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</si>
  <si>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</si>
  <si>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</si>
  <si>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</si>
  <si>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</si>
  <si>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</si>
  <si>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</si>
  <si>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</si>
  <si>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</si>
  <si>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</si>
  <si>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</si>
  <si>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</si>
  <si>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</si>
  <si>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</si>
  <si>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</si>
  <si>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</si>
  <si>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</si>
  <si>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</si>
  <si>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</si>
  <si>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</si>
  <si>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</si>
  <si>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</si>
  <si>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</si>
  <si>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</si>
  <si>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</si>
  <si>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</si>
  <si>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</si>
  <si>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</si>
  <si>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</si>
  <si>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</si>
  <si>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</si>
  <si>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</si>
  <si>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</si>
  <si>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</si>
  <si>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</si>
  <si>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</si>
  <si>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</si>
  <si>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</si>
  <si>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</si>
  <si>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</si>
  <si>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</si>
  <si>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</si>
  <si>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</si>
  <si>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</si>
  <si>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</si>
  <si>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</si>
  <si>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</si>
  <si>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</si>
  <si>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</si>
  <si>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</si>
  <si>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</si>
  <si>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</si>
  <si>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</si>
  <si>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</si>
  <si>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</si>
  <si>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</si>
  <si>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</si>
  <si>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</si>
  <si>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</si>
  <si>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</si>
  <si>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</si>
  <si>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</si>
  <si>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</si>
  <si>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</si>
  <si>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</si>
  <si>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</si>
  <si>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</si>
  <si>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</si>
  <si>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</si>
  <si>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</si>
  <si>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</si>
  <si>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</si>
  <si>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</si>
  <si>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</si>
  <si>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</si>
  <si>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</si>
  <si>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</si>
  <si>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</si>
  <si>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</si>
  <si>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</si>
  <si>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</si>
  <si>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</si>
  <si>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</si>
  <si>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</si>
  <si>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</si>
  <si>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</si>
  <si>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</si>
  <si>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</si>
  <si>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</si>
  <si>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</si>
  <si>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</si>
  <si>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</si>
  <si>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</si>
  <si>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</si>
  <si>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</si>
  <si>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</si>
  <si>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</si>
  <si>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</si>
  <si>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</si>
  <si>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</si>
  <si>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</si>
  <si>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</si>
  <si>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</si>
  <si>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</si>
  <si>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</si>
  <si>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</si>
  <si>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</si>
  <si>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</si>
  <si>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</si>
  <si>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</si>
  <si>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</si>
  <si>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</si>
  <si>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</si>
  <si>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</si>
  <si>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</si>
  <si>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</si>
  <si>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</si>
  <si>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</si>
  <si>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</si>
  <si>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</si>
  <si>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</si>
  <si>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</si>
  <si>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</si>
  <si>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</si>
  <si>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</si>
  <si>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</si>
  <si>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</si>
  <si>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</si>
  <si>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</si>
  <si>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</si>
  <si>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</si>
  <si>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</si>
  <si>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</si>
  <si>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</si>
  <si>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</si>
  <si>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</si>
  <si>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</si>
  <si>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</si>
  <si>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</si>
  <si>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</si>
  <si>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</si>
  <si>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</si>
  <si>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</si>
  <si>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</si>
  <si>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</si>
  <si>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</si>
  <si>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</si>
  <si>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</si>
  <si>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</si>
  <si>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</si>
  <si>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</si>
  <si>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</si>
  <si>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</si>
  <si>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</si>
  <si>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</si>
  <si>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</si>
  <si>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</si>
  <si>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</si>
  <si>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</si>
  <si>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</si>
  <si>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</si>
  <si>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</si>
  <si>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</si>
  <si>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</si>
  <si>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</si>
  <si>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</si>
  <si>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</si>
  <si>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</si>
  <si>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</si>
  <si>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</si>
  <si>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</si>
  <si>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</si>
  <si>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</si>
  <si>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</si>
  <si>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</si>
  <si>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</si>
  <si>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</si>
  <si>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</si>
  <si>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</si>
  <si>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</si>
  <si>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</si>
  <si>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</si>
  <si>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</si>
  <si>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</si>
  <si>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</si>
  <si>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</si>
  <si>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</si>
  <si>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</si>
  <si>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</si>
  <si>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</si>
  <si>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</si>
  <si>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</si>
  <si>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</si>
  <si>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</si>
  <si>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</si>
  <si>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</si>
  <si>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</si>
  <si>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</si>
  <si>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</si>
  <si>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</si>
  <si>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</si>
  <si>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</si>
  <si>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</si>
  <si>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</si>
  <si>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</si>
  <si>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</si>
  <si>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</si>
  <si>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</si>
  <si>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</si>
  <si>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</si>
  <si>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</si>
  <si>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</si>
  <si>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</si>
  <si>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</si>
  <si>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</si>
  <si>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</si>
  <si>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</si>
  <si>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</si>
  <si>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</si>
  <si>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</si>
  <si>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</si>
  <si>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</si>
  <si>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</si>
  <si>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</si>
  <si>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</si>
  <si>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</si>
  <si>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</si>
  <si>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</si>
  <si>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</si>
  <si>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</si>
  <si>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</si>
  <si>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</si>
  <si>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</si>
  <si>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</si>
  <si>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</si>
  <si>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</si>
  <si>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</si>
  <si>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</si>
  <si>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</si>
  <si>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</si>
  <si>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</si>
  <si>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</si>
  <si>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</si>
  <si>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</si>
  <si>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</si>
  <si>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</si>
  <si>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</si>
  <si>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</si>
  <si>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</si>
  <si>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</si>
  <si>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</si>
  <si>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</si>
  <si>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</si>
  <si>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</si>
  <si>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</si>
  <si>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</si>
  <si>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</si>
  <si>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</si>
  <si>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</si>
  <si>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</si>
  <si>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</si>
  <si>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</si>
  <si>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</si>
  <si>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</si>
  <si>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</si>
  <si>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</si>
  <si>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</si>
  <si>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</si>
  <si>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</si>
  <si>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</si>
  <si>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</si>
  <si>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</si>
  <si>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</si>
  <si>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</si>
  <si>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</si>
  <si>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</si>
  <si>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</si>
  <si>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</si>
  <si>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</si>
  <si>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</si>
  <si>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</si>
  <si>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</si>
  <si>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</si>
  <si>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</si>
  <si>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</si>
  <si>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</si>
  <si>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</si>
  <si>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</si>
  <si>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</si>
  <si>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</si>
  <si>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</si>
  <si>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</si>
  <si>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</si>
  <si>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</si>
  <si>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</si>
  <si>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</si>
  <si>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</si>
  <si>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</si>
  <si>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</si>
  <si>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</si>
  <si>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</si>
  <si>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</si>
  <si>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</si>
  <si>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</si>
  <si>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</si>
  <si>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</si>
  <si>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</si>
  <si>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</si>
  <si>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</si>
  <si>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</si>
  <si>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</si>
  <si>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</si>
  <si>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</si>
  <si>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</si>
  <si>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</si>
  <si>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</si>
  <si>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</si>
  <si>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</si>
  <si>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</si>
  <si>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</si>
  <si>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</si>
  <si>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</si>
  <si>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</si>
  <si>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</si>
  <si>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</si>
  <si>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</si>
  <si>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</si>
  <si>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</si>
  <si>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</si>
  <si>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</si>
  <si>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</si>
  <si>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</si>
  <si>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</si>
  <si>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</si>
  <si>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</si>
  <si>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</si>
  <si>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</si>
  <si>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</si>
  <si>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</si>
  <si>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</si>
  <si>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</si>
  <si>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</si>
  <si>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</si>
  <si>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</si>
  <si>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</si>
  <si>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</si>
  <si>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</si>
  <si>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</si>
  <si>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</si>
  <si>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</si>
  <si>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</si>
  <si>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</si>
  <si>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</si>
  <si>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</si>
  <si>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</si>
  <si>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</si>
  <si>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</si>
  <si>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</si>
  <si>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</si>
  <si>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</si>
  <si>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</si>
  <si>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</si>
  <si>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</si>
  <si>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</si>
  <si>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</si>
  <si>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</si>
  <si>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</si>
  <si>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</si>
  <si>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</si>
  <si>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</si>
  <si>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</si>
  <si>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</si>
  <si>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</si>
  <si>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</si>
  <si>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</si>
  <si>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</si>
  <si>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</si>
  <si>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</si>
  <si>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</si>
  <si>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</si>
  <si>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</si>
  <si>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</si>
  <si>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</si>
  <si>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</si>
  <si>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</si>
  <si>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</si>
  <si>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</si>
  <si>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</si>
  <si>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</si>
  <si>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</si>
  <si>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</si>
  <si>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</si>
  <si>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</si>
  <si>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</si>
  <si>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</si>
  <si>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</si>
  <si>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</si>
  <si>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</si>
  <si>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</si>
  <si>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</si>
  <si>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</si>
  <si>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</si>
  <si>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</si>
  <si>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</si>
  <si>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</si>
  <si>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</si>
  <si>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</si>
  <si>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</si>
  <si>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</si>
  <si>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</si>
  <si>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</si>
  <si>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</si>
  <si>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</si>
  <si>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</si>
  <si>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</si>
  <si>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</si>
  <si>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</si>
  <si>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</si>
  <si>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</si>
  <si>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</si>
  <si>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</si>
  <si>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</si>
  <si>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</si>
  <si>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</si>
  <si>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</si>
  <si>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</si>
  <si>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</si>
  <si>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</si>
  <si>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</si>
  <si>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</si>
  <si>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</si>
  <si>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</si>
  <si>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</si>
  <si>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</si>
  <si>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</si>
  <si>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</si>
  <si>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</si>
  <si>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</si>
  <si>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</si>
  <si>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</si>
  <si>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</si>
  <si>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</si>
  <si>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</si>
  <si>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</si>
  <si>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</si>
  <si>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</si>
  <si>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</si>
  <si>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</si>
  <si>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</si>
  <si>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</si>
  <si>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</si>
  <si>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</si>
  <si>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</si>
  <si>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</si>
  <si>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</si>
  <si>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</si>
  <si>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</si>
  <si>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</si>
  <si>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</si>
  <si>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</si>
  <si>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</si>
  <si>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</si>
  <si>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</si>
  <si>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</si>
  <si>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</si>
  <si>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</si>
  <si>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</si>
  <si>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</si>
  <si>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</si>
  <si>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</si>
  <si>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</si>
  <si>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</si>
  <si>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</si>
  <si>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</si>
  <si>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</si>
  <si>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</si>
  <si>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</si>
  <si>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</si>
  <si>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</si>
  <si>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</si>
  <si>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</si>
  <si>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</si>
  <si>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</si>
  <si>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</si>
  <si>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</si>
  <si>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</si>
  <si>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</si>
  <si>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</si>
  <si>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</si>
  <si>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</si>
  <si>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</si>
  <si>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</si>
  <si>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</si>
  <si>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</si>
  <si>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</si>
  <si>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</si>
  <si>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</si>
  <si>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</si>
  <si>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</si>
  <si>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</si>
  <si>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</si>
  <si>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</si>
  <si>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</si>
  <si>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</si>
  <si>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</si>
  <si>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</si>
  <si>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</si>
  <si>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</si>
  <si>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</si>
  <si>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</si>
  <si>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</si>
  <si>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</si>
  <si>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</si>
  <si>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</si>
  <si>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</si>
  <si>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</si>
  <si>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</si>
  <si>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</si>
  <si>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</si>
  <si>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</si>
  <si>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</si>
  <si>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</si>
  <si>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</si>
  <si>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</si>
  <si>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</si>
  <si>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</si>
  <si>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</si>
  <si>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</si>
  <si>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</si>
  <si>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</si>
  <si>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</si>
  <si>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</si>
  <si>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</si>
  <si>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</si>
  <si>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</si>
  <si>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</si>
  <si>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</si>
  <si>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</si>
  <si>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</si>
  <si>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</si>
  <si>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</si>
  <si>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</si>
  <si>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</si>
  <si>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</si>
  <si>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</si>
  <si>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</si>
  <si>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</si>
  <si>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</si>
  <si>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</si>
  <si>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</si>
  <si>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</si>
  <si>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</si>
  <si>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</si>
  <si>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</si>
  <si>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</si>
  <si>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</si>
  <si>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</si>
  <si>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</si>
  <si>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</si>
  <si>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</si>
  <si>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</si>
  <si>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</si>
  <si>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</si>
  <si>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</si>
  <si>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</si>
  <si>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</si>
  <si>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</si>
  <si>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</si>
  <si>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</si>
  <si>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</si>
  <si>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</si>
  <si>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</si>
  <si>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</si>
  <si>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</si>
  <si>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</si>
  <si>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</si>
  <si>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</si>
  <si>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</si>
  <si>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</si>
  <si>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</si>
  <si>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</si>
  <si>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</si>
  <si>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</si>
  <si>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</si>
  <si>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</si>
  <si>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</si>
  <si>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</si>
  <si>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</si>
  <si>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</si>
  <si>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</si>
  <si>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</si>
  <si>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</si>
  <si>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</si>
  <si>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</si>
  <si>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</si>
  <si>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</si>
  <si>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</si>
  <si>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</si>
  <si>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</si>
  <si>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</si>
  <si>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</si>
  <si>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</si>
  <si>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</si>
  <si>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</si>
  <si>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</si>
  <si>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</si>
  <si>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</si>
  <si>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</si>
  <si>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</si>
  <si>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</si>
  <si>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</si>
  <si>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</si>
  <si>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</si>
  <si>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</si>
  <si>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</si>
  <si>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</si>
  <si>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</si>
  <si>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</si>
  <si>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</si>
  <si>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</si>
  <si>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</si>
  <si>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</si>
  <si>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</si>
  <si>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</si>
  <si>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</si>
  <si>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</si>
  <si>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</si>
  <si>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</si>
  <si>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</si>
  <si>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</si>
  <si>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</si>
  <si>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</si>
  <si>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</si>
  <si>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</si>
  <si>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</si>
  <si>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</si>
  <si>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</si>
  <si>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</si>
  <si>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</si>
  <si>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</si>
  <si>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</si>
  <si>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</si>
  <si>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</si>
  <si>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</si>
  <si>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</si>
  <si>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</si>
  <si>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</si>
  <si>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</si>
  <si>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</si>
  <si>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</si>
  <si>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</si>
  <si>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</si>
  <si>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</si>
  <si>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</si>
  <si>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</si>
  <si>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</si>
  <si>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</si>
  <si>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</si>
  <si>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</si>
  <si>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</si>
  <si>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</si>
  <si>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</si>
  <si>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</si>
  <si>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</si>
  <si>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</si>
  <si>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</si>
  <si>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</si>
  <si>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</si>
  <si>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</si>
  <si>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</si>
  <si>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</si>
  <si>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</si>
  <si>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</si>
  <si>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</si>
  <si>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</si>
  <si>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</si>
  <si>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</si>
  <si>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</si>
  <si>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</si>
  <si>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</si>
  <si>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</si>
  <si>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</si>
  <si>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</si>
  <si>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</si>
  <si>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</si>
  <si>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</si>
  <si>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</si>
  <si>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</si>
  <si>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</si>
  <si>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</si>
  <si>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</si>
  <si>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</si>
  <si>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</si>
  <si>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</si>
  <si>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</si>
  <si>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</si>
  <si>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</si>
  <si>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</si>
  <si>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</si>
  <si>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</si>
  <si>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</si>
  <si>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</si>
  <si>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</si>
  <si>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</si>
  <si>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</si>
  <si>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</si>
  <si>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</si>
  <si>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</si>
  <si>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</si>
  <si>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</si>
  <si>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</si>
  <si>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</si>
  <si>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</si>
  <si>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</si>
  <si>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</si>
  <si>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</si>
  <si>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</si>
  <si>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</si>
  <si>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</si>
  <si>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</si>
  <si>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</si>
  <si>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</si>
  <si>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</si>
  <si>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</si>
  <si>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</si>
  <si>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</si>
  <si>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</si>
  <si>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</si>
  <si>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</si>
  <si>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</si>
  <si>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</si>
  <si>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</si>
  <si>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</si>
  <si>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</si>
  <si>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</si>
  <si>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</si>
  <si>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</si>
  <si>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</si>
  <si>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</si>
  <si>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</si>
  <si>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</si>
  <si>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</si>
  <si>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</si>
  <si>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</si>
  <si>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</si>
  <si>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</si>
  <si>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</si>
  <si>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</si>
  <si>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</si>
  <si>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</si>
  <si>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</si>
  <si>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</si>
  <si>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</si>
  <si>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</si>
  <si>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</si>
  <si>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</si>
  <si>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</si>
  <si>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</si>
  <si>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</si>
  <si>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</si>
  <si>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</si>
  <si>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</si>
  <si>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</si>
  <si>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</si>
  <si>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</si>
  <si>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</si>
  <si>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</si>
  <si>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</si>
  <si>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</si>
  <si>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</si>
  <si>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</si>
  <si>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</si>
  <si>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</si>
  <si>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</si>
  <si>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</si>
  <si>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</si>
  <si>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</si>
  <si>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</si>
  <si>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</si>
  <si>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</si>
  <si>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</si>
  <si>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</si>
  <si>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</si>
  <si>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</si>
  <si>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</si>
  <si>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</si>
  <si>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</si>
  <si>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</si>
  <si>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</si>
  <si>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</si>
  <si>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</si>
  <si>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</si>
  <si>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</si>
  <si>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</si>
  <si>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</si>
  <si>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</si>
  <si>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</si>
  <si>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</si>
  <si>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</si>
  <si>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</si>
  <si>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</si>
  <si>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</si>
  <si>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</si>
  <si>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</si>
  <si>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</si>
  <si>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</si>
  <si>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</si>
  <si>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</si>
  <si>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</si>
  <si>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</si>
  <si>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</si>
  <si>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</si>
  <si>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</si>
  <si>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</si>
  <si>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</si>
  <si>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</si>
  <si>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</si>
  <si>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</si>
  <si>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</si>
  <si>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</si>
  <si>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</si>
  <si>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</si>
  <si>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</si>
  <si>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</si>
  <si>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</si>
  <si>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</si>
  <si>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</si>
  <si>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</si>
  <si>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</si>
  <si>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</si>
  <si>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</si>
  <si>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</si>
  <si>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</si>
  <si>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</si>
  <si>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</si>
  <si>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</si>
  <si>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</si>
  <si>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</si>
  <si>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</si>
  <si>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</si>
  <si>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</si>
  <si>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</si>
  <si>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</si>
  <si>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</si>
  <si>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</si>
  <si>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</si>
  <si>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</si>
  <si>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</si>
  <si>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</si>
  <si>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</si>
  <si>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</si>
  <si>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</si>
  <si>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</si>
  <si>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</si>
  <si>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</si>
  <si>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</si>
  <si>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</si>
  <si>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</si>
  <si>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</si>
  <si>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</si>
  <si>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</si>
  <si>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</si>
  <si>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</si>
  <si>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</si>
  <si>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</si>
  <si>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</si>
  <si>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</si>
  <si>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</si>
  <si>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</si>
  <si>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</si>
  <si>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</si>
  <si>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</si>
  <si>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</si>
  <si>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</si>
  <si>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</si>
  <si>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</si>
  <si>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</si>
  <si>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</si>
  <si>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</si>
  <si>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</si>
  <si>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</si>
  <si>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</si>
  <si>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</si>
  <si>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</si>
  <si>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</si>
  <si>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</si>
  <si>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</si>
  <si>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</si>
  <si>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</si>
  <si>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</si>
  <si>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</si>
  <si>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</si>
  <si>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</si>
  <si>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</si>
  <si>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</si>
  <si>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</si>
  <si>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</si>
  <si>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</si>
  <si>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</si>
  <si>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</si>
  <si>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</si>
  <si>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</si>
  <si>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</si>
  <si>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</si>
  <si>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</si>
  <si>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</si>
  <si>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</si>
  <si>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</si>
  <si>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</si>
  <si>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</si>
  <si>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</si>
  <si>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</si>
  <si>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</si>
  <si>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</si>
  <si>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</si>
  <si>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</si>
  <si>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</si>
  <si>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</si>
  <si>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</si>
  <si>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</si>
  <si>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</si>
  <si>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</si>
  <si>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</si>
  <si>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</si>
  <si>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</si>
  <si>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</si>
  <si>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</si>
  <si>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</si>
  <si>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</si>
  <si>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</si>
  <si>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</si>
  <si>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</si>
  <si>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</si>
  <si>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</si>
  <si>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</si>
  <si>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</si>
  <si>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</si>
  <si>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</si>
  <si>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</si>
  <si>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</si>
  <si>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</si>
  <si>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</si>
  <si>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</si>
  <si>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</si>
  <si>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</si>
  <si>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</si>
  <si>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</si>
  <si>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</si>
  <si>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</si>
  <si>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</si>
  <si>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</si>
  <si>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</si>
  <si>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</si>
  <si>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</si>
  <si>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</si>
  <si>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</si>
  <si>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</si>
  <si>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</si>
  <si>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</si>
  <si>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</si>
  <si>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</si>
  <si>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</si>
  <si>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</si>
  <si>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</si>
  <si>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</si>
  <si>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</si>
  <si>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</si>
  <si>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</si>
  <si>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</si>
  <si>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</si>
  <si>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</si>
  <si>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</si>
  <si>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</si>
  <si>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</si>
  <si>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</si>
  <si>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</si>
  <si>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</si>
  <si>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</si>
  <si>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</si>
  <si>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</si>
  <si>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</si>
  <si>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</si>
  <si>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</si>
  <si>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</si>
  <si>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</si>
  <si>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</si>
  <si>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</si>
  <si>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</si>
  <si>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</si>
  <si>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</si>
  <si>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</si>
  <si>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</si>
  <si>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</si>
  <si>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</si>
  <si>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</si>
  <si>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</si>
  <si>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</si>
  <si>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</si>
  <si>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</si>
  <si>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</si>
  <si>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</si>
  <si>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</si>
  <si>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</si>
  <si>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</si>
  <si>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</si>
  <si>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</si>
  <si>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</si>
  <si>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</si>
  <si>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</si>
  <si>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</si>
  <si>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</si>
  <si>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</si>
  <si>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</si>
  <si>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</si>
  <si>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</si>
  <si>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</si>
  <si>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</si>
  <si>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</si>
  <si>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</si>
  <si>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</si>
  <si>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</si>
  <si>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</si>
  <si>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</si>
  <si>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</si>
  <si>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</si>
  <si>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</si>
  <si>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</si>
  <si>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</si>
  <si>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</si>
  <si>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</si>
  <si>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</si>
  <si>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</si>
  <si>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</si>
  <si>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</si>
  <si>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</si>
  <si>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</si>
  <si>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</si>
  <si>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</si>
  <si>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</si>
  <si>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</si>
  <si>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</si>
  <si>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</si>
  <si>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</si>
  <si>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</si>
  <si>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</si>
  <si>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</si>
  <si>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</si>
  <si>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</si>
  <si>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</si>
  <si>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</si>
  <si>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</si>
  <si>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</si>
  <si>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</si>
  <si>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</si>
  <si>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</si>
  <si>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</si>
  <si>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</si>
  <si>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</si>
  <si>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</si>
  <si>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</si>
  <si>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</si>
  <si>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</si>
  <si>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</si>
  <si>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</si>
  <si>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</si>
  <si>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</si>
  <si>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</si>
  <si>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</si>
  <si>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</si>
  <si>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</si>
  <si>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</si>
  <si>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</si>
  <si>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</si>
  <si>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</si>
  <si>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</si>
  <si>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</si>
  <si>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</si>
  <si>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</si>
  <si>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</si>
  <si>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</si>
  <si>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</si>
  <si>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</si>
  <si>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</si>
  <si>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</si>
  <si>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</si>
  <si>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</si>
  <si>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</si>
  <si>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</si>
  <si>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</si>
  <si>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</si>
  <si>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</si>
  <si>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</si>
  <si>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</si>
  <si>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</si>
  <si>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</si>
  <si>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</si>
  <si>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</si>
  <si>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</si>
  <si>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</si>
  <si>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</si>
  <si>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</si>
  <si>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</si>
  <si>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</si>
  <si>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</si>
  <si>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</si>
  <si>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</si>
  <si>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</si>
  <si>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</si>
  <si>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</si>
  <si>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</si>
  <si>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</si>
  <si>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</si>
  <si>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</si>
  <si>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</si>
  <si>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</si>
  <si>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</si>
  <si>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</si>
  <si>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</si>
  <si>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</si>
  <si>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</si>
  <si>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</si>
  <si>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</si>
  <si>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</si>
  <si>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</si>
  <si>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</si>
  <si>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</si>
  <si>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</si>
  <si>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</si>
  <si>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</si>
  <si>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</si>
  <si>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</si>
  <si>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</si>
  <si>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</si>
  <si>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</si>
  <si>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</si>
  <si>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</si>
  <si>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</si>
  <si>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</si>
  <si>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</si>
  <si>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</si>
  <si>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</si>
  <si>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</si>
  <si>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</si>
  <si>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</si>
  <si>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</si>
  <si>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</si>
  <si>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</si>
  <si>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</si>
  <si>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</si>
  <si>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</si>
  <si>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</si>
  <si>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</si>
  <si>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</si>
  <si>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</si>
  <si>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</si>
  <si>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</si>
  <si>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</si>
  <si>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</si>
  <si>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</si>
  <si>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</si>
  <si>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</si>
  <si>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</si>
  <si>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</si>
  <si>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</si>
  <si>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</si>
  <si>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</si>
  <si>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</si>
  <si>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</si>
  <si>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</si>
  <si>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</si>
  <si>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</si>
  <si>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</si>
  <si>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</si>
  <si>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</si>
  <si>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</si>
  <si>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</si>
  <si>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</si>
  <si>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</si>
  <si>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</si>
  <si>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</si>
  <si>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</si>
  <si>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</si>
  <si>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</si>
  <si>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</si>
  <si>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</si>
  <si>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</si>
  <si>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</si>
  <si>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</si>
  <si>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</si>
  <si>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</si>
  <si>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</si>
  <si>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</si>
  <si>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</si>
  <si>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</si>
  <si>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</si>
  <si>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</si>
  <si>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</si>
  <si>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</si>
  <si>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</si>
  <si>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</si>
  <si>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</si>
  <si>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</si>
  <si>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</si>
  <si>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</si>
  <si>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</si>
  <si>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</si>
  <si>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</si>
  <si>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</si>
  <si>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</si>
  <si>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</si>
  <si>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</si>
  <si>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</si>
  <si>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</si>
  <si>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</si>
  <si>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</si>
  <si>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</si>
  <si>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</si>
  <si>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</si>
  <si>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</si>
  <si>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</si>
  <si>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</si>
  <si>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</si>
  <si>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</si>
  <si>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</si>
  <si>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</si>
  <si>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</si>
  <si>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</si>
  <si>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</si>
  <si>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</si>
  <si>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</si>
  <si>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</si>
  <si>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</si>
  <si>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</si>
  <si>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</si>
  <si>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</si>
  <si>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</si>
  <si>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</si>
  <si>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</si>
  <si>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</si>
  <si>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</si>
  <si>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</si>
  <si>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</si>
  <si>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</si>
  <si>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</si>
  <si>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</si>
  <si>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</si>
  <si>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</si>
  <si>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</si>
  <si>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</si>
  <si>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</si>
  <si>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</si>
  <si>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</si>
  <si>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</si>
  <si>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</si>
  <si>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</si>
  <si>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</si>
  <si>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</si>
  <si>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</si>
  <si>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</si>
  <si>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</si>
  <si>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</si>
  <si>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</si>
  <si>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</si>
  <si>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</si>
  <si>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</si>
  <si>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</si>
  <si>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</si>
  <si>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</si>
  <si>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</si>
  <si>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</si>
  <si>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</si>
  <si>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</si>
  <si>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</si>
  <si>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</si>
  <si>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</si>
  <si>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</si>
  <si>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</si>
  <si>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</si>
  <si>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</si>
  <si>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</si>
  <si>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</si>
  <si>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</si>
  <si>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</si>
  <si>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</si>
  <si>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</si>
  <si>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</si>
  <si>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</si>
  <si>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</si>
  <si>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</si>
  <si>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</si>
  <si>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</si>
  <si>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</si>
  <si>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</si>
  <si>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</si>
  <si>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</si>
  <si>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</si>
  <si>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</si>
  <si>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</si>
  <si>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</si>
  <si>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</si>
  <si>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</si>
  <si>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</si>
  <si>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</si>
  <si>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</si>
  <si>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</si>
  <si>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</si>
  <si>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</si>
  <si>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</si>
  <si>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</si>
  <si>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</si>
  <si>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</si>
  <si>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</si>
  <si>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</si>
  <si>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</si>
  <si>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</si>
  <si>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</si>
  <si>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</si>
  <si>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</si>
  <si>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</si>
  <si>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</si>
  <si>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</si>
  <si>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</si>
  <si>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</si>
  <si>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</si>
  <si>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</si>
  <si>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</si>
  <si>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</si>
  <si>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</si>
  <si>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</si>
  <si>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</si>
  <si>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</si>
  <si>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</si>
  <si>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</si>
  <si>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</si>
  <si>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</si>
  <si>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</si>
  <si>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</si>
  <si>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</si>
  <si>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</si>
  <si>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</si>
  <si>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</si>
  <si>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</si>
  <si>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</si>
  <si>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</si>
  <si>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</si>
  <si>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</si>
  <si>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</si>
  <si>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</si>
  <si>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</si>
  <si>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</si>
  <si>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</si>
  <si>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</si>
  <si>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</si>
  <si>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</si>
  <si>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</si>
  <si>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</si>
  <si>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</si>
  <si>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</si>
  <si>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</si>
  <si>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</si>
  <si>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</si>
  <si>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</si>
  <si>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</si>
  <si>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</si>
  <si>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</si>
  <si>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</si>
  <si>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</si>
  <si>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</si>
  <si>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</si>
  <si>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</si>
  <si>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</si>
  <si>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</si>
  <si>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</si>
  <si>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</si>
  <si>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</si>
  <si>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</si>
  <si>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</si>
  <si>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</si>
  <si>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</si>
  <si>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</si>
  <si>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</si>
  <si>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</si>
  <si>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</si>
  <si>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</si>
  <si>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</si>
  <si>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</si>
  <si>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</si>
  <si>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</si>
  <si>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</si>
  <si>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</si>
  <si>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</si>
  <si>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</si>
  <si>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</si>
  <si>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</si>
  <si>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</si>
  <si>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</si>
  <si>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</si>
  <si>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</si>
  <si>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</si>
  <si>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</si>
  <si>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</si>
  <si>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</si>
  <si>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</si>
  <si>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</si>
  <si>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</si>
  <si>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</si>
  <si>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</si>
  <si>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</si>
  <si>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</si>
  <si>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</si>
  <si>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</si>
  <si>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</si>
  <si>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</si>
  <si>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</si>
  <si>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</si>
  <si>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</si>
  <si>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</si>
  <si>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</si>
  <si>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</si>
  <si>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</si>
  <si>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</si>
  <si>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</si>
  <si>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</si>
  <si>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</si>
  <si>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</si>
  <si>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</si>
  <si>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</si>
  <si>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</si>
  <si>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</si>
  <si>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</si>
  <si>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</si>
  <si>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</si>
  <si>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</si>
  <si>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</si>
  <si>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</si>
  <si>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</si>
  <si>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</si>
  <si>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</si>
  <si>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</si>
  <si>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</si>
  <si>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</si>
  <si>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</si>
  <si>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</si>
  <si>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</si>
  <si>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</si>
  <si>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</si>
  <si>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</si>
  <si>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</si>
  <si>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</si>
  <si>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</si>
  <si>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</si>
  <si>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</si>
  <si>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</si>
  <si>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</si>
  <si>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</si>
  <si>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</si>
  <si>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</si>
  <si>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</si>
  <si>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</si>
  <si>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</si>
  <si>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</si>
  <si>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</si>
  <si>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</si>
  <si>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</si>
  <si>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</si>
  <si>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</si>
  <si>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</si>
  <si>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</si>
  <si>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</si>
  <si>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</si>
  <si>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</si>
  <si>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</si>
  <si>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</si>
  <si>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</si>
  <si>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</si>
  <si>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</si>
  <si>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</si>
  <si>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</si>
  <si>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</si>
  <si>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</si>
  <si>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</si>
  <si>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</si>
  <si>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</si>
  <si>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</si>
  <si>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</si>
  <si>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</si>
  <si>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</si>
  <si>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</si>
  <si>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</si>
  <si>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</si>
  <si>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</si>
  <si>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</si>
  <si>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</si>
  <si>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</si>
  <si>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</si>
  <si>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</si>
  <si>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</si>
  <si>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</si>
  <si>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</si>
  <si>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</si>
  <si>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</si>
  <si>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</si>
  <si>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</si>
  <si>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</si>
  <si>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</si>
  <si>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</si>
  <si>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</si>
  <si>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</si>
  <si>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</si>
  <si>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</si>
  <si>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</si>
  <si>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</si>
  <si>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</si>
  <si>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</si>
  <si>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</si>
  <si>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</si>
  <si>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</si>
  <si>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</si>
  <si>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</si>
  <si>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</si>
  <si>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</si>
  <si>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</si>
  <si>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</si>
  <si>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</si>
  <si>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</si>
  <si>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</si>
  <si>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</si>
  <si>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</si>
  <si>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</si>
  <si>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</si>
  <si>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</si>
  <si>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</si>
  <si>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</si>
  <si>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</si>
  <si>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</si>
  <si>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</si>
  <si>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</si>
  <si>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</si>
  <si>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</si>
  <si>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</si>
  <si>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</si>
  <si>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</si>
  <si>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</si>
  <si>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</si>
  <si>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</si>
  <si>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</si>
  <si>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</si>
  <si>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</si>
  <si>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</si>
  <si>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</si>
  <si>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</si>
  <si>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</si>
  <si>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</si>
  <si>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</si>
  <si>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</si>
  <si>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</si>
  <si>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</si>
  <si>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</si>
  <si>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</si>
  <si>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</si>
  <si>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</si>
  <si>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</si>
  <si>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</si>
  <si>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</si>
  <si>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</si>
  <si>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</si>
  <si>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</si>
  <si>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</si>
  <si>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</si>
  <si>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</si>
  <si>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</si>
  <si>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</si>
  <si>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</si>
  <si>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</si>
  <si>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</si>
  <si>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</si>
  <si>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</si>
  <si>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</si>
  <si>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</si>
  <si>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</si>
  <si>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</si>
  <si>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</si>
  <si>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</si>
  <si>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</si>
  <si>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</si>
  <si>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</si>
  <si>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</si>
  <si>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</si>
  <si>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</si>
  <si>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</si>
  <si>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</si>
  <si>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</si>
  <si>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</si>
  <si>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</si>
  <si>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</si>
  <si>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</si>
  <si>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</si>
  <si>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</si>
  <si>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</si>
  <si>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</si>
  <si>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</si>
  <si>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</si>
  <si>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</si>
  <si>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</si>
  <si>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</si>
  <si>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</si>
  <si>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</si>
  <si>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</si>
  <si>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</si>
  <si>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</si>
  <si>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</si>
  <si>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</si>
  <si>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</si>
  <si>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</si>
  <si>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</si>
  <si>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</si>
  <si>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</si>
  <si>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</si>
  <si>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</si>
  <si>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</si>
  <si>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</si>
  <si>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</si>
  <si>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</si>
  <si>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</si>
  <si>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</si>
  <si>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</si>
  <si>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</si>
  <si>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</si>
  <si>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</si>
  <si>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</si>
  <si>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</si>
  <si>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</si>
  <si>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</si>
  <si>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</si>
  <si>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</si>
  <si>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</si>
  <si>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</si>
  <si>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</si>
  <si>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</si>
  <si>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</si>
  <si>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</si>
  <si>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</si>
  <si>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</si>
  <si>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</si>
  <si>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</si>
  <si>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</si>
  <si>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</si>
  <si>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</si>
  <si>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</si>
  <si>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</si>
  <si>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</si>
  <si>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</si>
  <si>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</si>
  <si>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</si>
  <si>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</si>
  <si>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</si>
  <si>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</si>
  <si>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</si>
  <si>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</si>
  <si>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</si>
  <si>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</si>
  <si>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</si>
  <si>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</si>
  <si>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</si>
  <si>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</si>
  <si>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</si>
  <si>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</si>
  <si>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</si>
  <si>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</si>
  <si>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</si>
  <si>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</si>
  <si>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</si>
  <si>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</si>
  <si>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</si>
  <si>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</si>
  <si>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</si>
  <si>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</si>
  <si>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</si>
  <si>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</si>
  <si>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</si>
  <si>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</si>
  <si>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</si>
  <si>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</si>
  <si>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</si>
  <si>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</si>
  <si>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</si>
  <si>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</si>
  <si>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</si>
  <si>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</si>
  <si>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</si>
  <si>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</si>
  <si>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</si>
  <si>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</si>
  <si>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</si>
  <si>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</si>
  <si>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</si>
  <si>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</si>
  <si>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</si>
  <si>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</si>
  <si>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</si>
  <si>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</si>
  <si>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</si>
  <si>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</si>
  <si>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</si>
  <si>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</si>
  <si>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</si>
  <si>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</si>
  <si>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</si>
  <si>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</si>
  <si>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</si>
  <si>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</si>
  <si>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</si>
  <si>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</si>
  <si>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</si>
  <si>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</si>
  <si>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</si>
  <si>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</si>
  <si>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</si>
  <si>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</si>
  <si>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</si>
  <si>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</si>
  <si>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</si>
  <si>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</si>
  <si>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</si>
  <si>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</si>
  <si>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</si>
  <si>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</si>
  <si>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</si>
  <si>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</si>
  <si>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</si>
  <si>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</si>
  <si>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</si>
  <si>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</si>
  <si>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</si>
  <si>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</si>
  <si>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</si>
  <si>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</si>
  <si>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</si>
  <si>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</si>
  <si>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</si>
  <si>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</si>
  <si>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</si>
  <si>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</si>
  <si>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</si>
  <si>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</si>
  <si>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</si>
  <si>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</si>
  <si>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</si>
  <si>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</si>
  <si>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</si>
  <si>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</si>
  <si>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</si>
  <si>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</si>
  <si>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</si>
  <si>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</si>
  <si>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</si>
  <si>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</si>
  <si>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</si>
  <si>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</si>
  <si>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</si>
  <si>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</si>
  <si>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</si>
  <si>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</si>
  <si>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</si>
  <si>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</si>
  <si>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</si>
  <si>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</si>
  <si>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</si>
  <si>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</si>
  <si>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</si>
  <si>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</si>
  <si>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</si>
  <si>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</si>
  <si>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</si>
  <si>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</si>
  <si>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</si>
  <si>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</si>
  <si>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</si>
  <si>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</si>
  <si>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</si>
  <si>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</si>
  <si>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</si>
  <si>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</si>
  <si>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</si>
  <si>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</si>
  <si>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</si>
  <si>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</si>
  <si>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</si>
  <si>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</si>
  <si>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</si>
  <si>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</si>
  <si>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</si>
  <si>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</si>
  <si>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</si>
  <si>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</si>
  <si>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</si>
  <si>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</si>
  <si>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</si>
  <si>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</si>
  <si>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</si>
  <si>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</si>
  <si>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</si>
  <si>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</si>
  <si>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</si>
  <si>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</si>
  <si>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</si>
  <si>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</si>
  <si>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</si>
  <si>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</si>
  <si>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</si>
  <si>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</si>
  <si>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</si>
  <si>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</si>
  <si>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</si>
  <si>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</si>
  <si>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</si>
  <si>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</si>
  <si>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</si>
  <si>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</si>
  <si>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</si>
  <si>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</si>
  <si>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</si>
  <si>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</si>
  <si>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</si>
  <si>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</si>
  <si>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</si>
  <si>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</si>
  <si>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</si>
  <si>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</si>
  <si>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</si>
  <si>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</si>
  <si>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</si>
  <si>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</si>
  <si>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</si>
  <si>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</si>
  <si>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</si>
  <si>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</si>
  <si>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</si>
  <si>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</si>
  <si>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</si>
  <si>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</si>
  <si>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</si>
  <si>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</si>
  <si>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</si>
  <si>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</si>
  <si>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</si>
  <si>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</si>
  <si>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</si>
  <si>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</si>
  <si>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</si>
  <si>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</si>
  <si>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</si>
  <si>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</si>
  <si>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</si>
  <si>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</si>
  <si>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</si>
  <si>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</si>
  <si>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</si>
  <si>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</si>
  <si>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</si>
  <si>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</si>
  <si>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</si>
  <si>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</si>
  <si>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</si>
  <si>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</si>
  <si>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</si>
  <si>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</si>
  <si>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</si>
  <si>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</si>
  <si>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</si>
  <si>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</si>
  <si>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</si>
  <si>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</si>
  <si>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</si>
  <si>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</si>
  <si>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</si>
  <si>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</si>
  <si>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</si>
  <si>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</si>
  <si>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</si>
  <si>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</si>
  <si>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</si>
  <si>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</si>
  <si>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</si>
  <si>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</si>
  <si>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</si>
  <si>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</si>
  <si>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</si>
  <si>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</si>
  <si>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</si>
  <si>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</si>
  <si>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</si>
  <si>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</si>
  <si>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</si>
  <si>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</si>
  <si>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</si>
  <si>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</si>
  <si>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</si>
  <si>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</si>
  <si>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</si>
  <si>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</si>
  <si>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</si>
  <si>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</si>
  <si>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</si>
  <si>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</si>
  <si>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</si>
  <si>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</si>
  <si>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</si>
  <si>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</si>
  <si>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</si>
  <si>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</si>
  <si>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</si>
  <si>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</si>
  <si>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</si>
  <si>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</si>
  <si>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</si>
  <si>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</si>
  <si>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</si>
  <si>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</si>
  <si>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</si>
  <si>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</si>
  <si>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</si>
  <si>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</si>
  <si>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</si>
  <si>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</si>
  <si>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</si>
  <si>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</si>
  <si>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</si>
  <si>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</si>
  <si>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</si>
  <si>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</si>
  <si>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</si>
  <si>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</si>
  <si>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</si>
  <si>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</si>
  <si>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</si>
  <si>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</si>
  <si>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</si>
  <si>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</si>
  <si>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</si>
  <si>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</si>
  <si>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</si>
  <si>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</si>
  <si>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</si>
  <si>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</si>
  <si>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</si>
  <si>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</si>
  <si>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</si>
  <si>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</si>
  <si>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</si>
  <si>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</si>
  <si>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</si>
  <si>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</si>
  <si>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</si>
  <si>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</si>
  <si>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</si>
  <si>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</si>
  <si>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</si>
  <si>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</si>
  <si>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</si>
  <si>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</si>
  <si>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</si>
  <si>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</si>
  <si>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</si>
  <si>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</si>
  <si>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</si>
  <si>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</si>
  <si>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</si>
  <si>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</si>
  <si>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</si>
  <si>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</si>
  <si>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</si>
  <si>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</si>
  <si>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</si>
  <si>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</si>
  <si>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</si>
  <si>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</si>
  <si>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</si>
  <si>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</si>
  <si>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</si>
  <si>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</si>
  <si>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</si>
  <si>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</si>
  <si>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</si>
  <si>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</si>
  <si>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</si>
  <si>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</si>
  <si>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</si>
  <si>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</si>
  <si>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</si>
  <si>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</si>
  <si>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</si>
  <si>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</si>
  <si>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</si>
  <si>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</si>
  <si>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</si>
  <si>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</si>
  <si>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</si>
  <si>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</si>
  <si>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</si>
  <si>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</si>
  <si>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</si>
  <si>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</si>
  <si>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</si>
  <si>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</si>
  <si>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</si>
  <si>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</si>
  <si>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</si>
  <si>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</si>
  <si>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</si>
  <si>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</si>
  <si>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</si>
  <si>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</si>
  <si>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</si>
  <si>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</si>
  <si>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</si>
  <si>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</si>
  <si>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</si>
  <si>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</si>
  <si>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</si>
  <si>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</si>
  <si>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</si>
  <si>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</si>
  <si>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</si>
  <si>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</si>
  <si>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</si>
  <si>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</si>
  <si>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</si>
  <si>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</si>
  <si>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</si>
  <si>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</si>
  <si>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</si>
  <si>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</si>
  <si>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</si>
  <si>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</si>
  <si>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</si>
  <si>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</si>
  <si>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</si>
  <si>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</si>
  <si>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</si>
  <si>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</si>
  <si>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</si>
  <si>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</si>
  <si>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</si>
  <si>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</si>
  <si>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</si>
  <si>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</si>
  <si>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</si>
  <si>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</si>
  <si>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</si>
  <si>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</si>
  <si>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</si>
  <si>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</si>
  <si>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</si>
  <si>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</si>
  <si>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</si>
  <si>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</si>
  <si>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</si>
  <si>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</si>
  <si>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</si>
  <si>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</si>
  <si>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</si>
  <si>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</si>
  <si>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</si>
  <si>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</si>
  <si>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</si>
  <si>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</si>
  <si>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</si>
  <si>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</si>
  <si>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</si>
  <si>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</si>
  <si>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</si>
  <si>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</si>
  <si>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</si>
  <si>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</si>
  <si>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</si>
  <si>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</si>
  <si>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</si>
  <si>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</si>
  <si>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</si>
  <si>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</si>
  <si>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</si>
  <si>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</si>
  <si>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</si>
  <si>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</si>
  <si>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</si>
  <si>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</si>
  <si>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</si>
  <si>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</si>
  <si>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</si>
  <si>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</si>
  <si>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</si>
  <si>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</si>
  <si>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</si>
  <si>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</si>
  <si>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</si>
  <si>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</si>
  <si>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</si>
  <si>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</si>
  <si>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</si>
  <si>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</si>
  <si>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</si>
  <si>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</si>
  <si>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</si>
  <si>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</si>
  <si>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</si>
  <si>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</si>
  <si>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</si>
  <si>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</si>
  <si>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</si>
  <si>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</si>
  <si>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</si>
  <si>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</si>
  <si>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</si>
  <si>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</si>
  <si>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</si>
  <si>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</si>
  <si>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</si>
  <si>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</si>
  <si>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</si>
  <si>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</si>
  <si>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</si>
  <si>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</si>
  <si>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</si>
  <si>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</si>
  <si>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</si>
  <si>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</si>
  <si>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</si>
  <si>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</si>
  <si>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</si>
  <si>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</si>
  <si>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</si>
  <si>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</si>
  <si>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</si>
  <si>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</si>
  <si>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</si>
  <si>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</si>
  <si>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</si>
  <si>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</si>
  <si>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</si>
  <si>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</si>
  <si>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</si>
  <si>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</si>
  <si>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</si>
  <si>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</si>
  <si>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</si>
  <si>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</si>
  <si>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</si>
  <si>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</si>
  <si>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</si>
  <si>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</si>
  <si>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</si>
  <si>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</si>
  <si>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</si>
  <si>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</si>
  <si>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</si>
  <si>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</si>
  <si>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</si>
  <si>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</si>
  <si>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</si>
  <si>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</si>
  <si>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</si>
  <si>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</si>
  <si>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</si>
  <si>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</si>
  <si>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</si>
  <si>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</si>
  <si>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</si>
  <si>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</si>
  <si>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</si>
  <si>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</si>
  <si>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</si>
  <si>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</si>
  <si>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</si>
  <si>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</si>
  <si>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</si>
  <si>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</si>
  <si>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</si>
  <si>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</si>
  <si>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</si>
  <si>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</si>
  <si>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</si>
  <si>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</si>
  <si>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</si>
  <si>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</si>
  <si>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</si>
  <si>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</si>
  <si>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</si>
  <si>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</si>
  <si>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</si>
  <si>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</si>
  <si>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</si>
  <si>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</si>
  <si>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</si>
  <si>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</si>
  <si>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</si>
  <si>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</si>
  <si>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</si>
  <si>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</si>
  <si>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</si>
  <si>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</si>
  <si>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</si>
  <si>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</si>
  <si>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</si>
  <si>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</si>
  <si>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</si>
  <si>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</si>
  <si>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</si>
  <si>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</si>
  <si>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</si>
  <si>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</si>
  <si>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</si>
  <si>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</si>
  <si>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</si>
  <si>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</si>
  <si>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</si>
  <si>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</si>
  <si>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</si>
  <si>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</si>
  <si>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</si>
  <si>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</si>
  <si>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</si>
  <si>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</si>
  <si>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</si>
  <si>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</si>
  <si>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</si>
  <si>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</si>
  <si>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</si>
  <si>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</si>
  <si>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</si>
  <si>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</si>
  <si>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</si>
  <si>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</si>
  <si>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</si>
  <si>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</si>
  <si>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</si>
  <si>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</si>
  <si>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</si>
  <si>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</si>
  <si>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</si>
  <si>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</si>
  <si>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</si>
  <si>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</si>
  <si>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</si>
  <si>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</si>
  <si>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</si>
  <si>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</si>
  <si>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</si>
  <si>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</si>
  <si>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</si>
  <si>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</si>
  <si>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</si>
  <si>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</si>
  <si>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</si>
  <si>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</si>
  <si>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</si>
  <si>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</si>
  <si>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</si>
  <si>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</si>
  <si>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</si>
  <si>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</si>
  <si>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</si>
  <si>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</si>
  <si>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</si>
  <si>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</si>
  <si>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</si>
  <si>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</si>
  <si>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</si>
  <si>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</si>
  <si>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</si>
  <si>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</si>
  <si>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</si>
  <si>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</si>
  <si>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</si>
  <si>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</si>
  <si>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</si>
  <si>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</si>
  <si>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</si>
  <si>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</si>
  <si>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</si>
  <si>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</si>
  <si>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</si>
  <si>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</si>
  <si>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</si>
  <si>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</si>
  <si>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</si>
  <si>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</si>
  <si>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</si>
  <si>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</si>
  <si>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</si>
  <si>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</si>
  <si>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</si>
  <si>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</si>
  <si>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</si>
  <si>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</si>
  <si>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</si>
  <si>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</si>
  <si>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</si>
  <si>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</si>
  <si>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</si>
  <si>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</si>
  <si>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</si>
  <si>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</si>
  <si>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</si>
  <si>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</si>
  <si>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</si>
  <si>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</si>
  <si>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</si>
  <si>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</si>
  <si>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</si>
  <si>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</si>
  <si>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</si>
  <si>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</si>
  <si>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</si>
  <si>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</si>
  <si>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</si>
  <si>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</si>
  <si>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</si>
  <si>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</si>
  <si>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</si>
  <si>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</si>
  <si>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</si>
  <si>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</si>
  <si>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</si>
  <si>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</si>
  <si>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</si>
  <si>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</si>
  <si>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</si>
  <si>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</si>
  <si>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</si>
  <si>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</si>
  <si>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</si>
  <si>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</si>
  <si>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</si>
  <si>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</si>
  <si>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</si>
  <si>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</si>
  <si>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</si>
  <si>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</si>
  <si>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</si>
  <si>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</si>
  <si>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</si>
  <si>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</si>
  <si>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</si>
  <si>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</si>
  <si>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</si>
  <si>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</si>
  <si>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</si>
  <si>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</si>
  <si>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</si>
  <si>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</si>
  <si>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</si>
  <si>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</si>
  <si>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</si>
  <si>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</si>
  <si>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</si>
  <si>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</si>
  <si>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</si>
  <si>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</si>
  <si>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</si>
  <si>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</si>
  <si>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</si>
  <si>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</si>
  <si>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</si>
  <si>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</si>
  <si>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</si>
  <si>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</si>
  <si>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</si>
  <si>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</si>
  <si>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</si>
  <si>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</si>
  <si>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</si>
  <si>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</si>
  <si>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</si>
  <si>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</si>
  <si>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</si>
  <si>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</si>
  <si>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</si>
  <si>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</si>
  <si>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</si>
  <si>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</si>
  <si>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</si>
  <si>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</si>
  <si>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</si>
  <si>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</si>
  <si>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</si>
  <si>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</si>
  <si>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</si>
  <si>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</si>
  <si>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</si>
  <si>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</si>
  <si>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</si>
  <si>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</si>
  <si>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</si>
  <si>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</si>
  <si>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</si>
  <si>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</si>
  <si>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</si>
  <si>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</si>
  <si>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</si>
  <si>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</si>
  <si>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</si>
  <si>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</si>
  <si>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</si>
  <si>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</si>
  <si>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</si>
  <si>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</si>
  <si>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</si>
  <si>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</si>
  <si>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</si>
  <si>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</si>
  <si>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</si>
  <si>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</si>
  <si>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</si>
  <si>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</si>
  <si>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</si>
  <si>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</si>
  <si>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</si>
  <si>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</si>
  <si>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</si>
  <si>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</si>
  <si>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</si>
  <si>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</si>
  <si>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</si>
  <si>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</si>
  <si>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</si>
  <si>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</si>
  <si>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</si>
  <si>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</si>
  <si>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</si>
  <si>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</si>
  <si>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</si>
  <si>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</si>
  <si>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</si>
  <si>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</si>
  <si>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</si>
  <si>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</si>
  <si>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</si>
  <si>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</si>
  <si>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</si>
  <si>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</si>
  <si>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</si>
  <si>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</si>
  <si>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</si>
  <si>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</si>
  <si>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</si>
  <si>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</si>
  <si>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</si>
  <si>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</si>
  <si>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</si>
  <si>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</si>
  <si>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</si>
  <si>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</si>
  <si>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</si>
  <si>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</si>
  <si>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</si>
  <si>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</si>
  <si>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</si>
  <si>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</si>
  <si>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</si>
  <si>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</si>
  <si>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</si>
  <si>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</si>
  <si>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</si>
  <si>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</si>
  <si>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</si>
  <si>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</si>
  <si>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</si>
  <si>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</si>
  <si>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</si>
  <si>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</si>
  <si>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</si>
  <si>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</si>
  <si>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</si>
  <si>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</si>
  <si>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</si>
  <si>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</si>
  <si>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</si>
  <si>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</si>
  <si>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</si>
  <si>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</si>
  <si>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</si>
  <si>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</si>
  <si>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</si>
  <si>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</si>
  <si>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</si>
  <si>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</si>
  <si>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</si>
  <si>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</si>
  <si>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</si>
  <si>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</si>
  <si>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</si>
  <si>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</si>
  <si>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</si>
  <si>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</si>
  <si>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</si>
  <si>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</si>
  <si>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</si>
  <si>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</si>
  <si>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</si>
  <si>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</si>
  <si>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</si>
  <si>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</si>
  <si>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</si>
  <si>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</si>
  <si>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</si>
  <si>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</si>
  <si>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</si>
  <si>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</si>
  <si>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</si>
  <si>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</si>
  <si>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</si>
  <si>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</si>
  <si>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</si>
  <si>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</si>
  <si>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</si>
  <si>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</si>
  <si>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</si>
  <si>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</si>
  <si>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</si>
  <si>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</si>
  <si>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</si>
  <si>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</si>
  <si>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</si>
  <si>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</si>
  <si>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</si>
  <si>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</si>
  <si>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</si>
  <si>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</si>
  <si>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</si>
  <si>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</si>
  <si>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</si>
  <si>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</si>
  <si>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</si>
  <si>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</si>
  <si>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</si>
  <si>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</si>
  <si>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</si>
  <si>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</si>
  <si>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</si>
  <si>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</si>
  <si>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</si>
  <si>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</si>
  <si>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</si>
  <si>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</si>
  <si>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</si>
  <si>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</si>
  <si>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</si>
  <si>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</si>
  <si>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</si>
  <si>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</si>
  <si>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</si>
  <si>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</si>
  <si>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</si>
  <si>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</si>
  <si>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</si>
  <si>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</si>
  <si>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</si>
  <si>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</si>
  <si>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</si>
  <si>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</si>
  <si>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</si>
  <si>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</si>
  <si>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</si>
  <si>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</si>
  <si>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</si>
  <si>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</si>
  <si>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</si>
  <si>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</si>
  <si>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</si>
  <si>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</si>
  <si>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</si>
  <si>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</si>
  <si>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</si>
  <si>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</si>
  <si>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</si>
  <si>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</si>
  <si>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</si>
  <si>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</si>
  <si>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</si>
  <si>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</si>
  <si>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</si>
  <si>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</si>
  <si>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</si>
  <si>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</si>
  <si>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</si>
  <si>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</si>
  <si>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</si>
  <si>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</si>
  <si>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</si>
  <si>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</si>
  <si>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</si>
  <si>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</si>
  <si>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</si>
  <si>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</si>
  <si>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</si>
  <si>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</si>
  <si>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</si>
  <si>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</si>
  <si>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</si>
  <si>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</si>
  <si>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</si>
  <si>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</si>
  <si>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</si>
  <si>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</si>
  <si>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</si>
  <si>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</si>
  <si>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</si>
  <si>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</si>
  <si>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</si>
  <si>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</si>
  <si>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</si>
  <si>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</si>
  <si>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</si>
  <si>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</si>
  <si>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</si>
  <si>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</si>
  <si>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</si>
  <si>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</si>
  <si>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</si>
  <si>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</si>
  <si>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</si>
  <si>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</si>
  <si>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</si>
  <si>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</si>
  <si>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</si>
  <si>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</si>
  <si>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</si>
  <si>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</si>
  <si>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</si>
  <si>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</si>
  <si>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</si>
  <si>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</si>
  <si>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</si>
  <si>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</si>
  <si>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</si>
  <si>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</si>
  <si>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</si>
  <si>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</si>
  <si>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</si>
  <si>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</si>
  <si>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</si>
  <si>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</si>
  <si>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</si>
  <si>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</si>
  <si>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</si>
  <si>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</si>
  <si>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</si>
  <si>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</si>
  <si>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</si>
  <si>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</si>
  <si>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</si>
  <si>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</si>
  <si>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</si>
  <si>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</si>
  <si>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</si>
  <si>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</si>
  <si>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</si>
  <si>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</si>
  <si>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</si>
  <si>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</si>
  <si>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</si>
  <si>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</si>
  <si>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</si>
  <si>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</si>
  <si>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</si>
  <si>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</si>
  <si>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</si>
  <si>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</si>
  <si>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</si>
  <si>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</si>
  <si>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</si>
  <si>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</si>
  <si>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</si>
  <si>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</si>
  <si>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</si>
  <si>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</si>
  <si>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</si>
  <si>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</si>
  <si>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</si>
  <si>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</si>
  <si>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</si>
  <si>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</si>
  <si>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</si>
  <si>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</si>
  <si>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</si>
  <si>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</si>
  <si>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</si>
  <si>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</si>
  <si>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</si>
  <si>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</si>
  <si>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</si>
  <si>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</si>
  <si>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</si>
  <si>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</si>
  <si>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</si>
  <si>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</si>
  <si>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</si>
  <si>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</si>
  <si>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</si>
  <si>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</si>
  <si>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</si>
  <si>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</si>
  <si>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</si>
  <si>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</si>
  <si>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</si>
  <si>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</si>
  <si>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</si>
  <si>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</si>
  <si>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</si>
  <si>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</si>
  <si>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</si>
  <si>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</si>
  <si>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</si>
  <si>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</si>
  <si>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</si>
  <si>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</si>
  <si>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</si>
  <si>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</si>
  <si>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</si>
  <si>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</si>
  <si>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</si>
  <si>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</si>
  <si>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</si>
  <si>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</si>
  <si>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</si>
  <si>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</si>
  <si>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</si>
  <si>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</si>
  <si>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</si>
  <si>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</si>
  <si>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</si>
  <si>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</si>
  <si>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</si>
  <si>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</si>
  <si>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</si>
  <si>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</si>
  <si>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</si>
  <si>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</si>
  <si>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</si>
  <si>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</si>
  <si>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</si>
  <si>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</si>
  <si>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</si>
  <si>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</si>
  <si>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</si>
  <si>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</si>
  <si>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</si>
  <si>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</si>
  <si>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</si>
  <si>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</si>
  <si>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</si>
  <si>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</si>
  <si>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</si>
  <si>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</si>
  <si>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</si>
  <si>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</si>
  <si>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</si>
  <si>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</si>
  <si>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</si>
  <si>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</si>
  <si>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</si>
  <si>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</si>
  <si>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</si>
  <si>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</si>
  <si>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</si>
  <si>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</si>
  <si>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</si>
  <si>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</si>
  <si>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</si>
  <si>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</si>
  <si>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</si>
  <si>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</si>
  <si>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</si>
  <si>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</si>
  <si>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</si>
  <si>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</si>
  <si>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</si>
  <si>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</si>
  <si>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</si>
  <si>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</si>
  <si>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</si>
  <si>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</si>
  <si>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</si>
  <si>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</si>
  <si>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</si>
  <si>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</si>
  <si>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</si>
  <si>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</si>
  <si>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</si>
  <si>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</si>
  <si>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</si>
  <si>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</si>
  <si>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</si>
  <si>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</si>
  <si>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</si>
  <si>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</si>
  <si>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</si>
  <si>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</si>
  <si>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</si>
  <si>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</si>
  <si>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</si>
  <si>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</si>
  <si>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</si>
  <si>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</si>
  <si>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</si>
  <si>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</si>
  <si>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</si>
  <si>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</si>
  <si>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</si>
  <si>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</si>
  <si>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</si>
  <si>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</si>
  <si>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</si>
  <si>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</si>
  <si>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</si>
  <si>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</si>
  <si>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</si>
  <si>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</si>
  <si>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</si>
  <si>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</si>
  <si>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</si>
  <si>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</si>
  <si>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</si>
  <si>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</si>
  <si>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</si>
  <si>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</si>
  <si>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</si>
  <si>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</si>
  <si>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</si>
  <si>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</si>
  <si>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</si>
  <si>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</si>
  <si>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</si>
  <si>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</si>
  <si>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</si>
  <si>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</si>
  <si>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</si>
  <si>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</si>
  <si>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</si>
  <si>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</si>
  <si>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</si>
  <si>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</si>
  <si>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</si>
  <si>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</si>
  <si>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</si>
  <si>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</si>
  <si>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</si>
  <si>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</si>
  <si>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</si>
  <si>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</si>
  <si>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</si>
  <si>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</si>
  <si>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</si>
  <si>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</si>
  <si>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</si>
  <si>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</si>
  <si>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</si>
  <si>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</si>
  <si>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</si>
  <si>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</si>
  <si>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</si>
  <si>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</si>
  <si>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</si>
  <si>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</si>
  <si>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</si>
  <si>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</si>
  <si>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</si>
  <si>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</si>
  <si>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</si>
  <si>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</si>
  <si>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</si>
  <si>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</si>
  <si>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</si>
  <si>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</si>
  <si>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</si>
  <si>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</si>
  <si>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</si>
  <si>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</si>
  <si>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</si>
  <si>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</si>
  <si>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</si>
  <si>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</si>
  <si>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</si>
  <si>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</si>
  <si>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</si>
  <si>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</si>
  <si>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</si>
  <si>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</si>
  <si>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</si>
  <si>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</si>
  <si>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</si>
  <si>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</si>
  <si>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</si>
  <si>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</si>
  <si>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</si>
  <si>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</si>
  <si>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</si>
  <si>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</si>
  <si>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</si>
  <si>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</si>
  <si>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</si>
  <si>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</si>
  <si>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</si>
  <si>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</si>
  <si>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</si>
  <si>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</si>
  <si>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</si>
  <si>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</si>
  <si>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</si>
  <si>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</si>
  <si>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</si>
  <si>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</si>
  <si>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</si>
  <si>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</si>
  <si>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</si>
  <si>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</si>
  <si>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</si>
  <si>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</si>
  <si>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</si>
  <si>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</si>
  <si>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</si>
  <si>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</si>
  <si>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</si>
  <si>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</si>
  <si>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</si>
  <si>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</si>
  <si>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</si>
  <si>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</si>
  <si>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</si>
  <si>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</si>
  <si>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</si>
  <si>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</si>
  <si>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</si>
  <si>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</si>
  <si>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</si>
  <si>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</si>
  <si>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</si>
  <si>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</si>
  <si>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</si>
  <si>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</si>
  <si>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</si>
  <si>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</si>
  <si>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</si>
  <si>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</si>
  <si>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</si>
  <si>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</si>
  <si>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</si>
  <si>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</si>
  <si>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</si>
  <si>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</si>
  <si>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</si>
  <si>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</si>
  <si>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</si>
  <si>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</si>
  <si>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</si>
  <si>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</si>
  <si>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</si>
  <si>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</si>
  <si>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</si>
  <si>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</si>
  <si>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</si>
  <si>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</si>
  <si>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</si>
  <si>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</si>
  <si>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</si>
  <si>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</si>
  <si>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</si>
  <si>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</si>
  <si>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</si>
  <si>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</si>
  <si>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</si>
  <si>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</si>
  <si>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</si>
  <si>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</si>
  <si>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</si>
  <si>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</si>
  <si>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</si>
  <si>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</si>
  <si>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</si>
  <si>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</si>
  <si>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</si>
  <si>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</si>
  <si>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</si>
  <si>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</si>
  <si>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</si>
  <si>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</si>
  <si>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</si>
  <si>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</si>
  <si>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</si>
  <si>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</si>
  <si>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</si>
  <si>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</si>
  <si>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</si>
  <si>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</si>
  <si>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</si>
  <si>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</si>
  <si>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</si>
  <si>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</si>
  <si>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</si>
  <si>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</si>
  <si>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</si>
  <si>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</si>
  <si>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</si>
  <si>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</si>
  <si>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</si>
  <si>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</si>
  <si>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</si>
  <si>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</si>
  <si>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</si>
  <si>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</si>
  <si>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</si>
  <si>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</si>
  <si>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</si>
  <si>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</si>
  <si>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</si>
  <si>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</si>
  <si>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</si>
  <si>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</si>
  <si>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</si>
  <si>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</si>
  <si>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</si>
  <si>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</si>
  <si>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</si>
  <si>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</si>
  <si>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</si>
  <si>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</si>
  <si>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</si>
  <si>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</si>
  <si>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</si>
  <si>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</si>
  <si>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</si>
  <si>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</si>
  <si>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</si>
  <si>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</si>
  <si>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</si>
  <si>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</si>
  <si>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</si>
  <si>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</si>
  <si>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</si>
  <si>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</si>
  <si>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</si>
  <si>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</si>
  <si>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</si>
  <si>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</si>
  <si>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</si>
  <si>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</si>
  <si>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</si>
  <si>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</si>
  <si>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</si>
  <si>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</si>
  <si>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</si>
  <si>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</si>
  <si>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</si>
  <si>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</si>
  <si>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</si>
  <si>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</si>
  <si>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</si>
  <si>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</si>
  <si>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</si>
  <si>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</si>
  <si>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</si>
  <si>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</si>
  <si>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</si>
  <si>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</si>
  <si>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</si>
  <si>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</si>
  <si>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</si>
  <si>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</si>
  <si>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</si>
  <si>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</si>
  <si>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</si>
  <si>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</si>
  <si>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</si>
  <si>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</si>
  <si>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</si>
  <si>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</si>
  <si>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</si>
  <si>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</si>
  <si>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</si>
  <si>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</si>
  <si>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</si>
  <si>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</si>
  <si>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</si>
  <si>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</si>
  <si>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</si>
  <si>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</si>
  <si>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</si>
  <si>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</si>
  <si>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</si>
  <si>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</si>
  <si>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</si>
  <si>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</si>
  <si>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</si>
  <si>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</si>
  <si>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</si>
  <si>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</si>
  <si>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</si>
  <si>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</si>
  <si>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</si>
  <si>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</si>
  <si>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</si>
  <si>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</si>
  <si>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</si>
  <si>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</si>
  <si>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</si>
  <si>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</si>
  <si>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</si>
  <si>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</si>
  <si>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</si>
  <si>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</si>
  <si>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</si>
  <si>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</si>
  <si>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</si>
  <si>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</si>
  <si>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</si>
  <si>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</si>
  <si>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</si>
  <si>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</si>
  <si>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</si>
  <si>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</si>
  <si>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</si>
  <si>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</si>
  <si>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</si>
  <si>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</si>
  <si>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</si>
  <si>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</si>
  <si>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</si>
  <si>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</si>
  <si>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</si>
  <si>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</si>
  <si>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</si>
  <si>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</si>
  <si>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</si>
  <si>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</si>
  <si>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</si>
  <si>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</si>
  <si>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</si>
  <si>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</si>
  <si>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</si>
  <si>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</si>
  <si>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</si>
  <si>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</si>
  <si>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</si>
  <si>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</si>
  <si>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</si>
  <si>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</si>
  <si>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</si>
  <si>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</si>
  <si>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</si>
  <si>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</si>
  <si>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</si>
  <si>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</si>
  <si>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</si>
  <si>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</si>
  <si>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</si>
  <si>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</si>
  <si>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</si>
  <si>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</si>
  <si>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</si>
  <si>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</si>
  <si>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</si>
  <si>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</si>
  <si>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</si>
  <si>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</si>
  <si>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</si>
  <si>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</si>
  <si>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</si>
  <si>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</si>
  <si>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</si>
  <si>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</si>
  <si>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</si>
  <si>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</si>
  <si>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</si>
  <si>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</si>
  <si>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</si>
  <si>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</si>
  <si>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</si>
  <si>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</si>
  <si>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</si>
  <si>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</si>
  <si>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</si>
  <si>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</si>
  <si>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</si>
  <si>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</si>
  <si>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</si>
  <si>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</si>
  <si>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</si>
  <si>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</si>
  <si>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</si>
  <si>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</si>
  <si>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</si>
  <si>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</si>
  <si>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</si>
  <si>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</si>
  <si>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</si>
  <si>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</si>
  <si>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</si>
  <si>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</si>
  <si>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</si>
  <si>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</si>
  <si>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</si>
  <si>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</si>
  <si>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</si>
  <si>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</si>
  <si>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</si>
  <si>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</si>
  <si>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</si>
  <si>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</si>
  <si>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</si>
  <si>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</si>
  <si>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</si>
  <si>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</si>
  <si>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</si>
  <si>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</si>
  <si>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</si>
  <si>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</si>
  <si>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</si>
  <si>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</si>
  <si>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</si>
  <si>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</si>
  <si>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</si>
  <si>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</si>
  <si>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</si>
  <si>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</si>
  <si>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</si>
  <si>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</si>
  <si>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</si>
  <si>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</si>
  <si>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</si>
  <si>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</si>
  <si>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</si>
  <si>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</si>
  <si>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</si>
  <si>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</si>
  <si>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</si>
  <si>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</si>
  <si>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</si>
  <si>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</si>
  <si>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</si>
  <si>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</si>
  <si>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</si>
  <si>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</si>
  <si>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</si>
  <si>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</si>
  <si>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</si>
  <si>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</si>
  <si>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</si>
  <si>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</si>
  <si>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</si>
  <si>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</si>
  <si>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</si>
  <si>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</si>
  <si>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</si>
  <si>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</si>
  <si>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</si>
  <si>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</si>
  <si>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</si>
  <si>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</si>
  <si>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</si>
  <si>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</si>
  <si>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</si>
  <si>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</si>
  <si>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</si>
  <si>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</si>
  <si>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</si>
  <si>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</si>
  <si>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</si>
  <si>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</si>
  <si>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</si>
  <si>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</si>
  <si>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</si>
  <si>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</si>
  <si>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</si>
  <si>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</si>
  <si>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</si>
  <si>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</si>
  <si>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</si>
  <si>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</si>
  <si>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</si>
  <si>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</si>
  <si>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</si>
  <si>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</si>
  <si>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</si>
  <si>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</si>
  <si>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</si>
  <si>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</si>
  <si>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</si>
  <si>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</si>
  <si>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</si>
  <si>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</si>
  <si>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</si>
  <si>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</si>
  <si>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</si>
  <si>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</si>
  <si>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</si>
  <si>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</si>
  <si>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</si>
  <si>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</si>
  <si>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</si>
  <si>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</si>
  <si>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</si>
  <si>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</si>
  <si>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</si>
  <si>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</si>
  <si>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</si>
  <si>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</si>
  <si>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</si>
  <si>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</si>
  <si>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</si>
  <si>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</si>
  <si>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</si>
  <si>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</si>
  <si>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</si>
  <si>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</si>
  <si>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</si>
  <si>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</si>
  <si>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</si>
  <si>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</si>
  <si>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</si>
  <si>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</si>
  <si>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</si>
  <si>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</si>
  <si>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</si>
  <si>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</si>
  <si>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</si>
  <si>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</si>
  <si>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</si>
  <si>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</si>
  <si>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</si>
  <si>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</si>
  <si>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</si>
  <si>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</si>
  <si>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</si>
  <si>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</si>
  <si>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</si>
  <si>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</si>
  <si>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</si>
  <si>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</si>
  <si>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</si>
  <si>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</si>
  <si>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</si>
  <si>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</si>
  <si>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</si>
  <si>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</si>
  <si>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</si>
  <si>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</si>
  <si>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</si>
  <si>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</si>
  <si>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</si>
  <si>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</si>
  <si>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</si>
  <si>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</si>
  <si>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</si>
  <si>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</si>
  <si>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</si>
  <si>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</si>
  <si>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</si>
  <si>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</si>
  <si>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</si>
  <si>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</si>
  <si>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</si>
  <si>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</si>
  <si>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</si>
  <si>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</si>
  <si>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</si>
  <si>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</si>
  <si>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</si>
  <si>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</si>
  <si>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</si>
  <si>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</si>
  <si>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</si>
  <si>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</si>
  <si>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</si>
  <si>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</si>
  <si>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</si>
  <si>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</si>
  <si>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</si>
  <si>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</si>
  <si>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</si>
  <si>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</si>
  <si>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</si>
  <si>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</si>
  <si>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</si>
  <si>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</si>
  <si>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</si>
  <si>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</si>
  <si>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</si>
  <si>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</si>
  <si>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</si>
  <si>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</si>
  <si>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</si>
  <si>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</si>
  <si>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</si>
  <si>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</si>
  <si>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</si>
  <si>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</si>
  <si>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</si>
  <si>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</si>
  <si>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</si>
  <si>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</si>
  <si>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</si>
  <si>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</si>
  <si>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</si>
  <si>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</si>
  <si>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</si>
  <si>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</si>
  <si>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</si>
  <si>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</si>
  <si>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</si>
  <si>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</si>
  <si>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</si>
  <si>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</si>
  <si>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</si>
  <si>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</si>
  <si>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</si>
  <si>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</si>
  <si>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</si>
  <si>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</si>
  <si>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</si>
  <si>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</si>
  <si>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</si>
  <si>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</si>
  <si>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</si>
  <si>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</si>
  <si>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</si>
  <si>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</si>
  <si>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</si>
  <si>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</si>
  <si>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</si>
  <si>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</si>
  <si>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</si>
  <si>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</si>
  <si>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</si>
  <si>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</si>
  <si>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</si>
  <si>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</si>
  <si>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</si>
  <si>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</si>
  <si>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</si>
  <si>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</si>
  <si>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</si>
  <si>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</si>
  <si>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</si>
  <si>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</si>
  <si>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</si>
  <si>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</si>
  <si>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</si>
  <si>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</si>
  <si>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</si>
  <si>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</si>
  <si>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</si>
  <si>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</si>
  <si>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</si>
  <si>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</si>
  <si>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</si>
  <si>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</si>
  <si>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</si>
  <si>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</si>
  <si>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</si>
  <si>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</si>
  <si>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</si>
  <si>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</si>
  <si>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</si>
  <si>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</si>
  <si>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</si>
  <si>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</si>
  <si>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</si>
  <si>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</si>
  <si>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</si>
  <si>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</si>
  <si>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</si>
  <si>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</si>
  <si>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</si>
  <si>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</si>
  <si>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</si>
  <si>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</si>
  <si>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</si>
  <si>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</si>
  <si>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</si>
  <si>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</si>
  <si>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</si>
  <si>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</si>
  <si>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</si>
  <si>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</si>
  <si>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</si>
  <si>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</si>
  <si>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</si>
  <si>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</si>
  <si>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</si>
  <si>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</si>
  <si>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</si>
  <si>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</si>
  <si>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</si>
  <si>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</si>
  <si>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</si>
  <si>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</si>
  <si>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</si>
  <si>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</si>
  <si>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</si>
  <si>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</si>
  <si>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</si>
  <si>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</si>
  <si>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</si>
  <si>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</si>
  <si>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</si>
  <si>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</si>
  <si>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</si>
  <si>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</si>
  <si>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</si>
  <si>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</si>
  <si>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</si>
  <si>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</si>
  <si>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</si>
  <si>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</si>
  <si>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</si>
  <si>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</si>
  <si>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</si>
  <si>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</si>
  <si>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</si>
  <si>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</si>
  <si>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</si>
  <si>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</si>
  <si>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</si>
  <si>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</si>
  <si>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</si>
  <si>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</si>
  <si>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</si>
  <si>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</si>
  <si>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</si>
  <si>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</si>
  <si>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</si>
  <si>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</si>
  <si>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</si>
  <si>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</si>
  <si>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</si>
  <si>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</si>
  <si>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</si>
  <si>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</si>
  <si>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</si>
  <si>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</si>
  <si>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</si>
  <si>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</si>
  <si>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</si>
  <si>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</si>
  <si>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</si>
  <si>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</si>
  <si>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</si>
  <si>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</si>
  <si>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</si>
  <si>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</si>
  <si>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</si>
  <si>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</si>
  <si>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</si>
  <si>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</si>
  <si>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</si>
  <si>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</si>
  <si>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</si>
  <si>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</si>
  <si>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</si>
  <si>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</si>
  <si>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</si>
  <si>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</si>
  <si>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</si>
  <si>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</si>
  <si>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</si>
  <si>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</si>
  <si>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</si>
  <si>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</si>
  <si>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</si>
  <si>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</si>
  <si>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</si>
  <si>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</si>
  <si>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</si>
  <si>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</si>
  <si>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</si>
  <si>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</si>
  <si>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</si>
  <si>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</si>
  <si>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</si>
  <si>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</si>
  <si>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</si>
  <si>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</si>
  <si>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</si>
  <si>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</si>
  <si>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</si>
  <si>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</si>
  <si>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</si>
  <si>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</si>
  <si>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</si>
  <si>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</si>
  <si>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</si>
  <si>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</si>
  <si>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</si>
  <si>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</si>
  <si>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</si>
  <si>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</si>
  <si>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</si>
  <si>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</si>
  <si>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</si>
  <si>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</si>
  <si>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</si>
  <si>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</si>
  <si>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</si>
  <si>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</si>
  <si>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</si>
  <si>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</si>
  <si>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</si>
  <si>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</si>
  <si>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</si>
  <si>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</si>
  <si>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</si>
  <si>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</si>
  <si>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</si>
  <si>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</si>
  <si>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</si>
  <si>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</si>
  <si>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</si>
  <si>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</si>
  <si>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</si>
  <si>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</si>
  <si>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</si>
  <si>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</si>
  <si>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</si>
  <si>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</si>
  <si>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</si>
  <si>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</si>
  <si>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</si>
  <si>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</si>
  <si>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</si>
  <si>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</si>
  <si>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</si>
  <si>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</si>
  <si>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</si>
  <si>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</si>
  <si>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</si>
  <si>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</si>
  <si>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</si>
  <si>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</si>
  <si>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</si>
  <si>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</si>
  <si>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</si>
  <si>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</si>
  <si>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</si>
  <si>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</si>
  <si>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</si>
  <si>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</si>
  <si>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</si>
  <si>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</si>
  <si>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</si>
  <si>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</si>
  <si>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</si>
  <si>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</si>
  <si>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</si>
  <si>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</si>
  <si>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</si>
  <si>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</si>
  <si>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</si>
  <si>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</si>
  <si>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</si>
  <si>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</si>
  <si>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</si>
  <si>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</si>
  <si>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</si>
  <si>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</si>
  <si>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</si>
  <si>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</si>
  <si>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</si>
  <si>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</si>
  <si>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</si>
  <si>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</si>
  <si>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</si>
  <si>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</si>
  <si>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</si>
  <si>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</si>
  <si>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</si>
  <si>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</si>
  <si>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</si>
  <si>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</si>
  <si>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</si>
  <si>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</si>
  <si>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</si>
  <si>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</si>
  <si>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</si>
  <si>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</si>
  <si>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</si>
  <si>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</si>
  <si>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</si>
  <si>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</si>
  <si>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</si>
  <si>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</si>
  <si>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</si>
  <si>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</si>
  <si>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</si>
  <si>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</si>
  <si>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</si>
  <si>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</si>
  <si>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</si>
  <si>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</si>
  <si>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</si>
  <si>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</si>
  <si>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</si>
  <si>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</si>
  <si>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</si>
  <si>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</si>
  <si>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</si>
  <si>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</si>
  <si>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</si>
  <si>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</si>
  <si>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</si>
  <si>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</si>
  <si>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</si>
  <si>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</si>
  <si>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</si>
  <si>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</si>
  <si>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</si>
  <si>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</si>
  <si>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</si>
  <si>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</si>
  <si>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</si>
  <si>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</si>
  <si>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</si>
  <si>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</si>
  <si>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</si>
  <si>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</si>
  <si>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</si>
  <si>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</si>
  <si>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</si>
  <si>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</si>
  <si>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</si>
  <si>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</si>
  <si>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</si>
  <si>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</si>
  <si>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</si>
  <si>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</si>
  <si>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</si>
  <si>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</si>
  <si>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</si>
  <si>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</si>
  <si>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</si>
  <si>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</si>
  <si>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</si>
  <si>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</si>
  <si>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</si>
  <si>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</si>
  <si>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</si>
  <si>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</si>
  <si>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</si>
  <si>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</si>
  <si>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</si>
  <si>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</si>
  <si>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</si>
  <si>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</si>
  <si>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</si>
  <si>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</si>
  <si>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</si>
  <si>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</si>
  <si>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</si>
  <si>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</si>
  <si>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</si>
  <si>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</si>
  <si>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</si>
  <si>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</si>
  <si>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</si>
  <si>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</si>
  <si>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</si>
  <si>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</si>
  <si>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</si>
  <si>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</si>
  <si>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</si>
  <si>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</si>
  <si>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</si>
  <si>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</si>
  <si>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</si>
  <si>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</si>
  <si>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</si>
  <si>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</si>
  <si>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</si>
  <si>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</si>
  <si>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</si>
  <si>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</si>
  <si>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</si>
  <si>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</si>
  <si>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</si>
  <si>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</si>
  <si>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</si>
  <si>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</si>
  <si>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</si>
  <si>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</si>
  <si>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</si>
  <si>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</si>
  <si>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</si>
  <si>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</si>
  <si>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</si>
  <si>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</si>
  <si>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</si>
  <si>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</si>
  <si>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</si>
  <si>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</si>
  <si>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</si>
  <si>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</si>
  <si>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</si>
  <si>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</si>
  <si>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</si>
  <si>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</si>
  <si>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</si>
  <si>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</si>
  <si>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</si>
  <si>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</si>
  <si>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</si>
  <si>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</si>
  <si>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</si>
  <si>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</si>
  <si>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</si>
  <si>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</si>
  <si>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</si>
  <si>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</si>
  <si>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</si>
  <si>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</si>
  <si>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</si>
  <si>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</si>
  <si>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</si>
  <si>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</si>
  <si>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</si>
  <si>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</si>
  <si>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</si>
  <si>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</si>
  <si>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</si>
  <si>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</si>
  <si>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</si>
  <si>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</si>
  <si>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</si>
  <si>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</si>
  <si>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</si>
  <si>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</si>
  <si>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</si>
  <si>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</si>
  <si>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</si>
  <si>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</si>
  <si>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</si>
  <si>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</si>
  <si>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</si>
  <si>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</si>
  <si>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</si>
  <si>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</si>
  <si>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</si>
  <si>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</si>
  <si>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</si>
  <si>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</si>
  <si>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</si>
  <si>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</si>
  <si>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</si>
  <si>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</si>
  <si>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</si>
  <si>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</si>
  <si>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</si>
  <si>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</si>
  <si>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</si>
  <si>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</si>
  <si>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</si>
  <si>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</si>
  <si>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</si>
  <si>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</si>
  <si>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</si>
  <si>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</si>
  <si>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</si>
  <si>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</si>
  <si>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</si>
  <si>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</si>
  <si>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</si>
  <si>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</si>
  <si>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</si>
  <si>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</si>
  <si>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</si>
  <si>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</si>
  <si>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</si>
  <si>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</si>
  <si>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</si>
  <si>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</si>
  <si>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</si>
  <si>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</si>
  <si>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</si>
  <si>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</si>
  <si>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</si>
  <si>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</si>
  <si>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</si>
  <si>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</si>
  <si>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</si>
  <si>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</si>
  <si>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</si>
  <si>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</si>
  <si>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</si>
  <si>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</si>
  <si>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</si>
  <si>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</si>
  <si>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</si>
  <si>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</si>
  <si>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</si>
  <si>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</si>
  <si>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</si>
  <si>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</si>
  <si>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</si>
  <si>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</si>
  <si>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</si>
  <si>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</si>
  <si>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</si>
  <si>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</si>
  <si>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</si>
  <si>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</si>
  <si>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</si>
  <si>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</si>
  <si>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</si>
  <si>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</si>
  <si>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</si>
  <si>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</si>
  <si>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</si>
  <si>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</si>
  <si>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</si>
  <si>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</si>
  <si>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</si>
  <si>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</si>
  <si>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</si>
  <si>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</si>
  <si>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</si>
  <si>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</si>
  <si>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</si>
  <si>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</si>
  <si>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</si>
  <si>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</si>
  <si>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</si>
  <si>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</si>
  <si>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</si>
  <si>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</si>
  <si>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</si>
  <si>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</si>
  <si>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</si>
  <si>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</si>
  <si>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</si>
  <si>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</si>
  <si>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</si>
  <si>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</si>
  <si>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</si>
  <si>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</si>
  <si>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</si>
  <si>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</si>
  <si>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</si>
  <si>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</si>
  <si>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</si>
  <si>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</si>
  <si>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</si>
  <si>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</si>
  <si>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</si>
  <si>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</si>
  <si>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</si>
  <si>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</si>
  <si>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</si>
  <si>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</si>
  <si>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</si>
  <si>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</si>
  <si>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</si>
  <si>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</si>
  <si>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</si>
  <si>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</si>
  <si>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</si>
  <si>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</si>
  <si>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</si>
  <si>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</si>
  <si>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</si>
  <si>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</si>
  <si>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</si>
  <si>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</si>
  <si>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</si>
  <si>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</si>
  <si>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</si>
  <si>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</si>
  <si>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</si>
  <si>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</si>
  <si>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</si>
  <si>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</si>
  <si>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</si>
  <si>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</si>
  <si>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</si>
  <si>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</si>
  <si>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</si>
  <si>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</si>
  <si>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</si>
  <si>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</si>
  <si>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</si>
  <si>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</si>
  <si>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</si>
  <si>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</si>
  <si>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</si>
  <si>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</si>
  <si>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</si>
  <si>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</si>
  <si>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</si>
  <si>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</si>
  <si>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</si>
  <si>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</si>
  <si>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</si>
  <si>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</si>
  <si>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</si>
  <si>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</si>
  <si>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</si>
  <si>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</si>
  <si>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</si>
  <si>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</si>
  <si>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</si>
  <si>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</si>
  <si>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</si>
  <si>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</si>
  <si>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</si>
  <si>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</si>
  <si>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</si>
  <si>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</si>
  <si>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</si>
  <si>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</si>
  <si>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</si>
  <si>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</si>
  <si>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</si>
  <si>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</si>
  <si>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</si>
  <si>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</si>
  <si>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</si>
  <si>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</si>
  <si>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</si>
  <si>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</si>
  <si>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</si>
  <si>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</si>
  <si>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</si>
  <si>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</si>
  <si>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</si>
  <si>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</si>
  <si>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</si>
  <si>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</si>
  <si>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</si>
  <si>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</si>
  <si>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</si>
  <si>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</si>
  <si>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</si>
  <si>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</si>
  <si>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</si>
  <si>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</si>
  <si>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</si>
  <si>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</si>
  <si>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</si>
  <si>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</si>
  <si>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</si>
  <si>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</si>
  <si>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</si>
  <si>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</si>
  <si>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</si>
  <si>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</si>
  <si>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</si>
  <si>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</si>
  <si>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</si>
  <si>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</si>
  <si>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</si>
  <si>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</si>
  <si>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</si>
  <si>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</si>
  <si>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</si>
  <si>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</si>
  <si>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</si>
  <si>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</si>
  <si>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</si>
  <si>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</si>
  <si>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</si>
  <si>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</si>
  <si>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</si>
  <si>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</si>
  <si>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</si>
  <si>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</si>
  <si>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</si>
  <si>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</si>
  <si>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</si>
  <si>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</si>
  <si>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</si>
  <si>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</si>
  <si>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</si>
  <si>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</si>
  <si>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</si>
  <si>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</si>
  <si>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</si>
  <si>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</si>
  <si>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</si>
  <si>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</si>
  <si>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</si>
  <si>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</si>
  <si>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</si>
  <si>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</si>
  <si>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</si>
  <si>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</si>
  <si>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</si>
  <si>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</si>
  <si>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</si>
  <si>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</si>
  <si>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</si>
  <si>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</si>
  <si>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</si>
  <si>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</si>
  <si>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</si>
  <si>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</si>
  <si>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</si>
  <si>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</si>
  <si>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</si>
  <si>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</si>
  <si>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</si>
  <si>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</si>
  <si>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</si>
  <si>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</si>
  <si>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</si>
  <si>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</si>
  <si>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</si>
  <si>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</si>
  <si>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</si>
  <si>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</si>
  <si>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</si>
  <si>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</si>
  <si>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</si>
  <si>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</si>
  <si>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</si>
  <si>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</si>
  <si>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</si>
  <si>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</si>
  <si>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</si>
  <si>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</si>
  <si>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</si>
  <si>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</si>
  <si>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</si>
  <si>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</si>
  <si>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</si>
  <si>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</si>
  <si>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</si>
  <si>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</si>
  <si>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</si>
  <si>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</si>
  <si>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</si>
  <si>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</si>
  <si>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</si>
  <si>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</si>
  <si>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</si>
  <si>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</si>
  <si>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</si>
  <si>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</si>
  <si>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</si>
  <si>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</si>
  <si>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</si>
  <si>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</si>
  <si>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</si>
  <si>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</si>
  <si>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</si>
  <si>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</si>
  <si>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</si>
  <si>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</si>
  <si>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</si>
  <si>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</si>
  <si>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</si>
  <si>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</si>
  <si>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</si>
  <si>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</si>
  <si>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</si>
  <si>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</si>
  <si>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</si>
  <si>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</si>
  <si>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</si>
  <si>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</si>
  <si>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</si>
  <si>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</si>
  <si>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</si>
  <si>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</si>
  <si>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</si>
  <si>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</si>
  <si>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</si>
  <si>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</si>
  <si>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</si>
  <si>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</si>
  <si>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</si>
  <si>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</si>
  <si>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</si>
  <si>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</si>
  <si>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</si>
  <si>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</si>
  <si>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</si>
  <si>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</si>
  <si>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</si>
  <si>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</si>
  <si>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</si>
  <si>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</si>
  <si>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</si>
  <si>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</si>
  <si>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</si>
  <si>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</si>
  <si>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</si>
  <si>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</si>
  <si>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</si>
  <si>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</si>
  <si>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</si>
  <si>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</si>
  <si>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</si>
  <si>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</si>
  <si>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</si>
  <si>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</si>
  <si>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</si>
  <si>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</si>
  <si>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</si>
  <si>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</si>
  <si>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</si>
  <si>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</si>
  <si>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</si>
  <si>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</si>
  <si>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</si>
  <si>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</si>
  <si>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</si>
  <si>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</si>
  <si>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</si>
  <si>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</si>
  <si>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</si>
  <si>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</si>
  <si>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</si>
  <si>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</si>
  <si>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</si>
  <si>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</si>
  <si>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</si>
  <si>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</si>
  <si>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</si>
  <si>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</si>
  <si>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</si>
  <si>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</si>
  <si>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</si>
  <si>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</si>
  <si>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</si>
  <si>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</si>
  <si>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</si>
  <si>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</si>
  <si>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</si>
  <si>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</si>
  <si>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</si>
  <si>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</si>
  <si>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</si>
  <si>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</si>
  <si>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</si>
  <si>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</si>
  <si>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</si>
  <si>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</si>
  <si>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</si>
  <si>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</si>
  <si>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</si>
  <si>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</si>
  <si>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</si>
  <si>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</si>
  <si>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</si>
  <si>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</si>
  <si>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</si>
  <si>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</si>
  <si>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</si>
  <si>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</si>
  <si>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</si>
  <si>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</si>
  <si>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</si>
  <si>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</si>
  <si>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</si>
  <si>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</si>
  <si>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</si>
  <si>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</si>
  <si>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</si>
  <si>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</si>
  <si>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</si>
  <si>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</si>
  <si>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</si>
  <si>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</si>
  <si>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</si>
  <si>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</si>
  <si>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</si>
  <si>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</si>
  <si>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</si>
  <si>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</si>
  <si>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</si>
  <si>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</si>
  <si>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</si>
  <si>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</si>
  <si>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</si>
  <si>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</si>
  <si>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</si>
  <si>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</si>
  <si>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</si>
  <si>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</si>
  <si>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</si>
  <si>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</si>
  <si>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</si>
  <si>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</si>
  <si>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</si>
  <si>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</si>
  <si>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</si>
  <si>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</si>
  <si>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</si>
  <si>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</si>
  <si>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</si>
  <si>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</si>
  <si>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</si>
  <si>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</si>
  <si>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</si>
  <si>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</si>
  <si>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</si>
  <si>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</si>
  <si>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</si>
  <si>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</si>
  <si>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</si>
  <si>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</si>
  <si>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</si>
  <si>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</si>
  <si>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</si>
  <si>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</si>
  <si>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</si>
  <si>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</si>
  <si>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</si>
  <si>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</si>
  <si>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</si>
  <si>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</si>
  <si>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</si>
  <si>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</si>
  <si>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</si>
  <si>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</si>
  <si>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</si>
  <si>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</si>
  <si>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</si>
  <si>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</si>
  <si>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</si>
  <si>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</si>
  <si>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</si>
  <si>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</si>
  <si>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</si>
  <si>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</si>
  <si>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</si>
  <si>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</si>
  <si>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</si>
  <si>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</si>
  <si>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</si>
  <si>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</si>
  <si>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</si>
  <si>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</si>
  <si>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</si>
  <si>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</si>
  <si>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</si>
  <si>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</si>
  <si>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</si>
  <si>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</si>
  <si>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</si>
  <si>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</si>
  <si>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</si>
  <si>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</si>
  <si>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</si>
  <si>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</si>
  <si>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</si>
  <si>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</si>
  <si>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</si>
  <si>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</si>
  <si>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</si>
  <si>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</si>
  <si>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</si>
  <si>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</si>
  <si>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</si>
  <si>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</si>
  <si>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</si>
  <si>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</si>
  <si>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</si>
  <si>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</si>
  <si>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</si>
  <si>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</si>
  <si>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</si>
  <si>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</si>
  <si>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</si>
  <si>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</si>
  <si>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</si>
  <si>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</si>
  <si>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</si>
  <si>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</si>
  <si>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</si>
  <si>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</si>
  <si>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</si>
  <si>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</si>
  <si>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</si>
  <si>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</si>
  <si>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</si>
  <si>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</si>
  <si>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</si>
  <si>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</si>
  <si>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</si>
  <si>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</si>
  <si>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</si>
  <si>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</si>
  <si>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</si>
  <si>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</si>
  <si>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</si>
  <si>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</si>
  <si>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</si>
  <si>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</si>
  <si>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</si>
  <si>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</si>
  <si>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</si>
  <si>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</si>
  <si>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</si>
  <si>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</si>
  <si>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</si>
  <si>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</si>
  <si>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</si>
  <si>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</si>
  <si>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</si>
  <si>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</si>
  <si>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</si>
  <si>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</si>
  <si>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</si>
  <si>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</si>
  <si>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</si>
  <si>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</si>
  <si>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</si>
  <si>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</si>
  <si>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</si>
  <si>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</si>
  <si>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</si>
  <si>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</si>
  <si>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</si>
  <si>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</si>
  <si>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</si>
  <si>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</si>
  <si>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</si>
  <si>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</si>
  <si>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</si>
  <si>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</si>
  <si>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</si>
  <si>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</si>
  <si>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</si>
  <si>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</si>
  <si>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</si>
  <si>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</si>
  <si>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</si>
  <si>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</si>
  <si>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</si>
  <si>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</si>
  <si>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</si>
  <si>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</si>
  <si>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</si>
  <si>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</si>
  <si>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</si>
  <si>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</si>
  <si>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</si>
  <si>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</si>
  <si>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</si>
  <si>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</si>
  <si>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</si>
  <si>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</si>
  <si>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</si>
  <si>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</si>
  <si>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</si>
  <si>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</si>
  <si>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</si>
  <si>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</si>
  <si>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</si>
  <si>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</si>
  <si>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</si>
  <si>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</si>
  <si>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</si>
  <si>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</si>
  <si>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</si>
  <si>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</si>
  <si>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</si>
  <si>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</si>
  <si>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</si>
  <si>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</si>
  <si>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</si>
  <si>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</si>
  <si>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</si>
  <si>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</si>
  <si>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</si>
  <si>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</si>
  <si>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</si>
  <si>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</si>
  <si>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</si>
  <si>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</si>
  <si>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</si>
  <si>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</si>
  <si>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</si>
  <si>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</si>
  <si>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</si>
  <si>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</si>
  <si>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</si>
  <si>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</si>
  <si>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</si>
  <si>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</si>
  <si>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</si>
  <si>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</si>
  <si>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</si>
  <si>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</si>
  <si>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</si>
  <si>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</si>
  <si>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</si>
  <si>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</si>
  <si>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</si>
  <si>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</si>
  <si>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</si>
  <si>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</si>
  <si>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</si>
  <si>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</si>
  <si>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</si>
  <si>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</si>
  <si>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</si>
  <si>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</si>
  <si>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</si>
  <si>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</si>
  <si>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</si>
  <si>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</si>
  <si>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</si>
  <si>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</si>
  <si>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</si>
  <si>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</si>
  <si>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</si>
  <si>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</si>
  <si>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</si>
  <si>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</si>
  <si>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</si>
  <si>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</si>
  <si>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</si>
  <si>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</si>
  <si>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</si>
  <si>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</si>
  <si>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</si>
  <si>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</si>
  <si>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</si>
  <si>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</si>
  <si>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</si>
  <si>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</si>
  <si>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</si>
  <si>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</si>
  <si>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</si>
  <si>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</si>
  <si>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</si>
  <si>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</si>
  <si>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</si>
  <si>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</si>
  <si>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</si>
  <si>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</si>
  <si>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</si>
  <si>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</si>
  <si>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</si>
  <si>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</si>
  <si>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</si>
  <si>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</si>
  <si>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</si>
  <si>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</si>
  <si>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</si>
  <si>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</si>
  <si>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</si>
  <si>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</si>
  <si>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</si>
  <si>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</si>
  <si>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</si>
  <si>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</si>
  <si>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</si>
  <si>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</si>
  <si>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</si>
  <si>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</si>
  <si>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</si>
  <si>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</si>
  <si>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</si>
  <si>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</si>
  <si>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</si>
  <si>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</si>
  <si>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</si>
  <si>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</si>
  <si>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</si>
  <si>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</si>
  <si>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</si>
  <si>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</si>
  <si>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</si>
  <si>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</si>
  <si>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</si>
  <si>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</si>
  <si>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</si>
  <si>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</si>
  <si>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</si>
  <si>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</si>
  <si>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</si>
  <si>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</si>
  <si>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</si>
  <si>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</si>
  <si>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</si>
  <si>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</si>
  <si>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</si>
  <si>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</si>
  <si>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</si>
  <si>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</si>
  <si>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</si>
  <si>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</si>
  <si>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</si>
  <si>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</si>
  <si>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</si>
  <si>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</si>
  <si>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</si>
  <si>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</si>
  <si>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</si>
  <si>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</si>
  <si>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</si>
  <si>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</si>
  <si>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</si>
  <si>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</si>
  <si>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</si>
  <si>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</si>
  <si>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</si>
  <si>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</si>
  <si>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</si>
  <si>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</si>
  <si>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</si>
  <si>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</si>
  <si>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</si>
  <si>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</si>
  <si>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</si>
  <si>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</si>
  <si>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</si>
  <si>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</si>
  <si>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</si>
  <si>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</si>
  <si>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</si>
  <si>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</si>
  <si>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</si>
  <si>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</si>
  <si>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</si>
  <si>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</si>
  <si>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</si>
  <si>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</si>
  <si>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</si>
  <si>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</si>
  <si>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</si>
  <si>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</si>
  <si>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</si>
  <si>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</si>
  <si>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</si>
  <si>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</si>
  <si>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</si>
  <si>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</si>
  <si>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</si>
  <si>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</si>
  <si>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</si>
  <si>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</si>
  <si>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</si>
  <si>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</si>
  <si>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</si>
  <si>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</si>
  <si>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</si>
  <si>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</si>
  <si>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</si>
  <si>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</si>
  <si>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</si>
  <si>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</si>
  <si>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</si>
  <si>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</si>
  <si>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</si>
  <si>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</si>
  <si>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</si>
  <si>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</si>
  <si>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</si>
  <si>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</si>
  <si>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</si>
  <si>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</si>
  <si>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</si>
  <si>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</si>
  <si>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</si>
  <si>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</si>
  <si>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</si>
  <si>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</si>
  <si>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</si>
  <si>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</si>
  <si>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</si>
  <si>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</si>
  <si>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</si>
  <si>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</si>
  <si>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</si>
  <si>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</si>
  <si>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</si>
  <si>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</si>
  <si>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</si>
  <si>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</si>
  <si>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</si>
  <si>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</si>
  <si>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</si>
  <si>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</si>
  <si>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</si>
  <si>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</si>
  <si>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</si>
  <si>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</si>
  <si>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</si>
  <si>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</si>
  <si>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</si>
  <si>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</si>
  <si>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</si>
  <si>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</si>
  <si>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</si>
  <si>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</si>
  <si>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</si>
  <si>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</si>
  <si>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</si>
  <si>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</si>
  <si>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</si>
  <si>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</si>
  <si>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</si>
  <si>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</si>
  <si>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</si>
  <si>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</si>
  <si>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</si>
  <si>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</si>
  <si>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</si>
  <si>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</si>
  <si>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</si>
  <si>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</si>
  <si>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</si>
  <si>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</si>
  <si>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</si>
  <si>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</si>
  <si>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</si>
  <si>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</si>
  <si>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</si>
  <si>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</si>
  <si>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</si>
  <si>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</si>
  <si>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</si>
  <si>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</si>
  <si>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</si>
  <si>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</si>
  <si>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</si>
  <si>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</si>
  <si>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</si>
  <si>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</si>
  <si>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</si>
  <si>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</si>
  <si>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</si>
  <si>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</si>
  <si>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</si>
  <si>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</si>
  <si>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</si>
  <si>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</si>
  <si>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</si>
  <si>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</si>
  <si>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</si>
  <si>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</si>
  <si>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</si>
  <si>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</si>
  <si>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</si>
  <si>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</si>
  <si>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</si>
  <si>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</si>
  <si>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</si>
  <si>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</si>
  <si>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</si>
  <si>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</si>
  <si>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</si>
  <si>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</si>
  <si>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</si>
  <si>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</si>
  <si>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</si>
  <si>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</si>
  <si>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</si>
  <si>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</si>
  <si>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</si>
  <si>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</si>
  <si>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</si>
  <si>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</si>
  <si>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</si>
  <si>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</si>
  <si>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</si>
  <si>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</si>
  <si>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</si>
  <si>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</si>
  <si>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</si>
  <si>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</si>
  <si>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</si>
  <si>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</si>
  <si>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</si>
  <si>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</si>
  <si>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</si>
  <si>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</si>
  <si>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</si>
  <si>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</si>
  <si>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</si>
  <si>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</si>
  <si>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</si>
  <si>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</si>
  <si>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</si>
  <si>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</si>
  <si>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</si>
  <si>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</si>
  <si>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</si>
  <si>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</si>
  <si>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</si>
  <si>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</si>
  <si>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</si>
  <si>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</si>
  <si>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</si>
  <si>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</si>
  <si>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</si>
  <si>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</si>
  <si>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</si>
  <si>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</si>
  <si>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</si>
  <si>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</si>
  <si>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</si>
  <si>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</si>
  <si>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</si>
  <si>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</si>
  <si>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</si>
  <si>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</si>
  <si>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</si>
  <si>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</si>
  <si>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</si>
  <si>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</si>
  <si>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</si>
  <si>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</si>
  <si>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</si>
  <si>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</si>
  <si>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</si>
  <si>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</si>
  <si>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</si>
  <si>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</si>
  <si>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</si>
  <si>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</si>
  <si>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</si>
  <si>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</si>
  <si>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</si>
  <si>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</si>
  <si>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</si>
  <si>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</si>
  <si>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</si>
  <si>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</si>
  <si>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</si>
  <si>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</si>
  <si>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</si>
  <si>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</si>
  <si>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</si>
  <si>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</si>
  <si>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</si>
  <si>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</si>
  <si>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</si>
  <si>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</si>
  <si>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</si>
  <si>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</si>
  <si>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</si>
  <si>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</si>
  <si>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</si>
  <si>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</si>
  <si>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</si>
  <si>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</si>
  <si>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</si>
  <si>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</si>
  <si>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</si>
  <si>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</si>
  <si>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</si>
  <si>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</si>
  <si>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</si>
  <si>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</si>
  <si>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</si>
  <si>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</si>
  <si>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</si>
  <si>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</si>
  <si>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</si>
  <si>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</si>
  <si>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</si>
  <si>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</si>
  <si>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</si>
  <si>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</si>
  <si>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</si>
  <si>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</si>
  <si>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</si>
  <si>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</si>
  <si>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</si>
  <si>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</si>
  <si>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</si>
  <si>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</si>
  <si>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</si>
  <si>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</si>
  <si>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</si>
  <si>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</si>
  <si>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</si>
  <si>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</si>
  <si>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</si>
  <si>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</si>
  <si>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</si>
  <si>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</si>
  <si>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</si>
  <si>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</si>
  <si>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</si>
  <si>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</si>
  <si>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</si>
  <si>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</si>
  <si>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</si>
  <si>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</si>
  <si>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</si>
  <si>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</si>
  <si>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</si>
  <si>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</si>
  <si>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</si>
  <si>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</si>
  <si>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</si>
  <si>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</si>
  <si>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</si>
  <si>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</si>
  <si>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</si>
  <si>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</si>
  <si>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</si>
  <si>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</si>
  <si>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</si>
  <si>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</si>
  <si>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</si>
  <si>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</si>
  <si>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</si>
  <si>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</si>
  <si>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</si>
  <si>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</si>
  <si>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</si>
  <si>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</si>
  <si>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</si>
  <si>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</si>
  <si>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</si>
  <si>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</si>
  <si>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</si>
  <si>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</si>
  <si>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</si>
  <si>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</si>
  <si>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</si>
  <si>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</si>
  <si>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</si>
  <si>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</si>
  <si>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</si>
  <si>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</si>
  <si>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</si>
  <si>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</si>
  <si>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</si>
  <si>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</si>
  <si>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</si>
  <si>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</si>
  <si>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</si>
  <si>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</si>
  <si>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</si>
  <si>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</si>
  <si>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</si>
  <si>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</si>
  <si>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</si>
  <si>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</si>
  <si>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</si>
  <si>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</si>
  <si>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</si>
  <si>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</si>
  <si>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</si>
  <si>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</si>
  <si>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</si>
  <si>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</si>
  <si>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</si>
  <si>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</si>
  <si>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</si>
  <si>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</si>
  <si>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</si>
  <si>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</si>
  <si>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</si>
  <si>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</si>
  <si>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</si>
  <si>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</si>
  <si>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</si>
  <si>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</si>
  <si>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</si>
  <si>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</si>
  <si>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</si>
  <si>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</si>
  <si>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</si>
  <si>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</si>
  <si>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</si>
  <si>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</si>
  <si>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</si>
  <si>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</si>
  <si>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</si>
  <si>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</si>
  <si>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</si>
  <si>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</si>
  <si>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</si>
  <si>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</si>
  <si>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</si>
  <si>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</si>
  <si>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</si>
  <si>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</si>
  <si>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</si>
  <si>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</si>
  <si>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</si>
  <si>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</si>
  <si>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</si>
  <si>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</si>
  <si>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</si>
  <si>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</si>
  <si>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</si>
  <si>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</si>
  <si>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</si>
  <si>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</si>
  <si>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</si>
  <si>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</si>
  <si>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</si>
  <si>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</si>
  <si>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</si>
  <si>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</si>
  <si>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</si>
  <si>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</si>
  <si>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</si>
  <si>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</si>
  <si>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</si>
  <si>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</si>
  <si>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</si>
  <si>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</si>
  <si>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</si>
  <si>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</si>
  <si>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</si>
  <si>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</si>
  <si>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</si>
  <si>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</si>
  <si>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</si>
  <si>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</si>
  <si>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</si>
  <si>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</si>
  <si>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</si>
  <si>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</si>
  <si>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</si>
  <si>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</si>
  <si>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</si>
  <si>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</si>
  <si>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</si>
  <si>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</si>
  <si>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</si>
  <si>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</si>
  <si>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</si>
  <si>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</si>
  <si>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</si>
  <si>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</si>
  <si>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</si>
  <si>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</si>
  <si>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</si>
  <si>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</si>
  <si>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</si>
  <si>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</si>
  <si>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</si>
  <si>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</si>
  <si>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</si>
  <si>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</si>
  <si>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</si>
  <si>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</si>
  <si>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</si>
  <si>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</si>
  <si>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</si>
  <si>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</si>
  <si>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</si>
  <si>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</si>
  <si>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</si>
  <si>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</si>
  <si>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</si>
  <si>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</si>
  <si>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</si>
  <si>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</si>
  <si>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</si>
  <si>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</si>
  <si>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</si>
  <si>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</si>
  <si>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</si>
  <si>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</si>
  <si>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</si>
  <si>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</si>
  <si>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</si>
  <si>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</si>
  <si>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</si>
  <si>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</si>
  <si>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</si>
  <si>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</si>
  <si>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</si>
  <si>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</si>
  <si>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</si>
  <si>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</si>
  <si>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</si>
  <si>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</si>
  <si>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</si>
  <si>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</si>
  <si>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</si>
  <si>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</si>
  <si>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</si>
  <si>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</si>
  <si>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</si>
  <si>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</si>
  <si>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</si>
  <si>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</si>
  <si>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</si>
  <si>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</si>
  <si>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</si>
  <si>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</si>
  <si>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</si>
  <si>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</si>
  <si>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</si>
  <si>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</si>
  <si>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</si>
  <si>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</si>
  <si>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</si>
  <si>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</si>
  <si>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</si>
  <si>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</si>
  <si>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</si>
  <si>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</si>
  <si>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</si>
  <si>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</si>
  <si>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</si>
  <si>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</si>
  <si>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</si>
  <si>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</si>
  <si>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</si>
  <si>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</si>
  <si>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</si>
  <si>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</si>
  <si>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</si>
  <si>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</si>
  <si>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</si>
  <si>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</si>
  <si>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</si>
  <si>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</si>
  <si>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</si>
  <si>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</si>
  <si>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</si>
  <si>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</si>
  <si>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</si>
  <si>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</si>
  <si>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</si>
  <si>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</si>
  <si>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</si>
  <si>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</si>
  <si>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</si>
  <si>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</si>
  <si>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</si>
  <si>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</si>
  <si>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</si>
  <si>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</si>
  <si>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</si>
  <si>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</si>
  <si>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</si>
  <si>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</si>
  <si>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</si>
  <si>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</si>
  <si>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</si>
  <si>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</si>
  <si>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</si>
  <si>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</si>
  <si>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</si>
  <si>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</si>
  <si>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</si>
  <si>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</si>
  <si>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</si>
  <si>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</si>
  <si>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</si>
  <si>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</si>
  <si>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</si>
  <si>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</si>
  <si>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</si>
  <si>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</si>
  <si>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</si>
  <si>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</si>
  <si>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</si>
  <si>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</si>
  <si>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</si>
  <si>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</si>
  <si>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</si>
  <si>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</si>
  <si>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</si>
  <si>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</si>
  <si>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</si>
  <si>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</si>
  <si>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</si>
  <si>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</si>
  <si>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</si>
  <si>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</si>
  <si>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</si>
  <si>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</si>
  <si>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</si>
  <si>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</si>
  <si>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</si>
  <si>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</si>
  <si>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</si>
  <si>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</si>
  <si>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</si>
  <si>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</si>
  <si>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</si>
  <si>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</si>
  <si>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</si>
  <si>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</si>
  <si>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</si>
  <si>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</si>
  <si>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</si>
  <si>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</si>
  <si>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</si>
  <si>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</si>
  <si>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</si>
  <si>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</si>
  <si>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</si>
  <si>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</si>
  <si>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</si>
  <si>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</si>
  <si>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</si>
  <si>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</si>
  <si>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</si>
  <si>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</si>
  <si>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</si>
  <si>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</si>
  <si>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</si>
  <si>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</si>
  <si>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</si>
  <si>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</si>
  <si>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</si>
  <si>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</si>
  <si>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</si>
  <si>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</si>
  <si>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</si>
  <si>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</si>
  <si>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</si>
  <si>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</si>
  <si>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</si>
  <si>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</si>
  <si>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</si>
  <si>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</si>
  <si>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</si>
  <si>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</si>
  <si>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</si>
  <si>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</si>
  <si>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</si>
  <si>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</si>
  <si>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</si>
  <si>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</si>
  <si>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</si>
  <si>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</si>
  <si>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</si>
  <si>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</si>
  <si>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</si>
  <si>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</si>
  <si>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</si>
  <si>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</si>
  <si>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</si>
  <si>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</si>
  <si>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</si>
  <si>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</si>
  <si>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</si>
  <si>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</si>
  <si>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</si>
  <si>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</si>
  <si>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</si>
  <si>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</si>
  <si>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</si>
  <si>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</si>
  <si>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</si>
  <si>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</si>
  <si>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</si>
  <si>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</si>
  <si>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</si>
  <si>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</si>
  <si>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</si>
  <si>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</si>
  <si>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</si>
  <si>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</si>
  <si>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</si>
  <si>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</si>
  <si>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</si>
  <si>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</si>
  <si>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</si>
  <si>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</si>
  <si>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</si>
  <si>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</si>
  <si>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</si>
  <si>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</si>
  <si>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</si>
  <si>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</si>
  <si>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</si>
  <si>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</si>
  <si>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</si>
  <si>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</si>
  <si>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</si>
  <si>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</si>
  <si>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</si>
  <si>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</si>
  <si>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</si>
  <si>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</si>
  <si>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</si>
  <si>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</si>
  <si>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</si>
  <si>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</si>
  <si>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</si>
  <si>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</si>
  <si>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</si>
  <si>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</si>
  <si>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</si>
  <si>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</si>
  <si>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</si>
  <si>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</si>
  <si>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</si>
  <si>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</si>
  <si>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</si>
  <si>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</si>
  <si>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</si>
  <si>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</si>
  <si>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</si>
  <si>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</si>
  <si>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</si>
  <si>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</si>
  <si>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</si>
  <si>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</si>
  <si>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</si>
  <si>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</si>
  <si>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</si>
  <si>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</si>
  <si>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</si>
  <si>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</si>
  <si>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</si>
  <si>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</si>
  <si>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</si>
  <si>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</si>
  <si>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</si>
  <si>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</si>
  <si>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</si>
  <si>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</si>
  <si>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</si>
  <si>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</si>
  <si>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</si>
  <si>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</si>
  <si>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</si>
  <si>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</si>
  <si>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</si>
  <si>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</si>
  <si>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</si>
  <si>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</si>
  <si>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</si>
  <si>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</si>
  <si>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</si>
  <si>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</si>
  <si>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</si>
  <si>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</si>
  <si>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</si>
  <si>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</si>
  <si>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</si>
  <si>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</si>
  <si>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</si>
  <si>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</si>
  <si>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</si>
  <si>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</si>
  <si>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</si>
  <si>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</si>
  <si>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</si>
  <si>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</si>
  <si>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</si>
  <si>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</si>
  <si>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</si>
  <si>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</si>
  <si>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</si>
  <si>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</si>
  <si>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</si>
  <si>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</si>
  <si>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</si>
  <si>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</si>
  <si>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</si>
  <si>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</si>
  <si>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</si>
  <si>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</si>
  <si>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</si>
  <si>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</si>
  <si>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</si>
  <si>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</si>
  <si>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</si>
  <si>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</si>
  <si>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</si>
  <si>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</si>
  <si>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</si>
  <si>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</si>
  <si>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</si>
  <si>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</si>
  <si>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</si>
  <si>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</si>
  <si>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</si>
  <si>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</si>
  <si>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</si>
  <si>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</si>
  <si>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</si>
  <si>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</si>
  <si>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</si>
  <si>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</si>
  <si>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</si>
  <si>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</si>
  <si>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</si>
  <si>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</si>
  <si>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</si>
  <si>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</si>
  <si>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</si>
  <si>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</si>
  <si>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</si>
  <si>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</si>
  <si>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</si>
  <si>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</si>
  <si>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</si>
  <si>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</si>
  <si>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</si>
  <si>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</si>
  <si>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</si>
  <si>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</si>
  <si>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</si>
  <si>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</si>
  <si>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</si>
  <si>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</si>
  <si>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</si>
  <si>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</si>
  <si>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</si>
  <si>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</si>
  <si>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</si>
  <si>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</si>
  <si>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</si>
  <si>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</si>
  <si>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</si>
  <si>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</si>
  <si>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</si>
  <si>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</si>
  <si>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</si>
  <si>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</si>
  <si>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</si>
  <si>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</si>
  <si>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</si>
  <si>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</si>
  <si>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</si>
  <si>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</si>
  <si>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</si>
  <si>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</si>
  <si>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</si>
  <si>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</si>
  <si>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</si>
  <si>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</si>
  <si>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</si>
  <si>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</si>
  <si>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</si>
  <si>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</si>
  <si>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</si>
  <si>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</si>
  <si>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</si>
  <si>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</si>
  <si>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</si>
  <si>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</si>
  <si>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</si>
  <si>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</si>
  <si>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</si>
  <si>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</si>
  <si>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</si>
  <si>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</si>
  <si>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</si>
  <si>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</si>
  <si>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</si>
  <si>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</si>
  <si>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</si>
  <si>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</si>
  <si>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</si>
  <si>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</si>
  <si>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</si>
  <si>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</si>
  <si>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</si>
  <si>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</si>
  <si>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</si>
  <si>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</si>
  <si>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</si>
  <si>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</si>
  <si>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</si>
  <si>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</si>
  <si>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</si>
  <si>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</si>
  <si>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</si>
  <si>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</si>
  <si>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</si>
  <si>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</si>
  <si>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</si>
  <si>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</si>
  <si>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</si>
  <si>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</si>
  <si>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</si>
  <si>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</si>
  <si>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</si>
  <si>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</si>
  <si>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</si>
  <si>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</si>
  <si>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</si>
  <si>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</si>
  <si>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</si>
  <si>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</si>
  <si>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</si>
  <si>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</si>
  <si>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</si>
  <si>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</si>
  <si>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</si>
  <si>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</si>
  <si>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</si>
  <si>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</si>
  <si>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</si>
  <si>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</si>
  <si>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</si>
  <si>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</si>
  <si>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</si>
  <si>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</si>
  <si>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</si>
  <si>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</si>
  <si>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</si>
  <si>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</si>
  <si>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</si>
  <si>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</si>
  <si>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</si>
  <si>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</si>
  <si>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</si>
  <si>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</si>
  <si>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</si>
  <si>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</si>
  <si>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</si>
  <si>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</si>
  <si>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</si>
  <si>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</si>
  <si>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</si>
  <si>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</si>
  <si>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</si>
  <si>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</si>
  <si>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</si>
  <si>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</si>
  <si>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</si>
  <si>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</si>
  <si>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</si>
  <si>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</si>
  <si>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</si>
  <si>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</si>
  <si>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</si>
  <si>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</si>
  <si>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</si>
  <si>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</si>
  <si>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</si>
  <si>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</si>
  <si>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</si>
  <si>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</si>
  <si>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</si>
  <si>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</si>
  <si>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</si>
  <si>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</si>
  <si>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</si>
  <si>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</si>
  <si>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</si>
  <si>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</si>
  <si>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</si>
  <si>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</si>
  <si>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</si>
  <si>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</si>
  <si>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</si>
  <si>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</si>
  <si>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</si>
  <si>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</si>
  <si>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</si>
  <si>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</si>
  <si>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</si>
  <si>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</si>
  <si>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</si>
  <si>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</si>
  <si>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</si>
  <si>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</si>
  <si>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</si>
  <si>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</si>
  <si>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</si>
  <si>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</si>
  <si>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</si>
  <si>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</si>
  <si>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</si>
  <si>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</si>
  <si>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</si>
  <si>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</si>
  <si>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</si>
  <si>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</si>
  <si>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</si>
  <si>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</si>
  <si>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</si>
  <si>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</si>
  <si>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</si>
  <si>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</si>
  <si>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</si>
  <si>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</si>
  <si>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</si>
  <si>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</si>
  <si>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</si>
  <si>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</si>
  <si>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</si>
  <si>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</si>
  <si>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</si>
  <si>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</si>
  <si>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</si>
  <si>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</si>
  <si>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</si>
  <si>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</si>
  <si>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</si>
  <si>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</si>
  <si>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</si>
  <si>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</si>
  <si>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</si>
  <si>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</si>
  <si>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</si>
  <si>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</si>
  <si>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</si>
  <si>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</si>
  <si>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</si>
  <si>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</si>
  <si>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</si>
  <si>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</si>
  <si>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</si>
  <si>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</si>
  <si>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</si>
  <si>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</si>
  <si>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</si>
  <si>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</si>
  <si>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</si>
  <si>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</si>
  <si>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</si>
  <si>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</si>
  <si>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</si>
  <si>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</si>
  <si>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</si>
  <si>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</si>
  <si>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</si>
  <si>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</si>
  <si>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</si>
  <si>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</si>
  <si>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</si>
  <si>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</si>
  <si>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</si>
  <si>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</si>
  <si>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</si>
  <si>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</si>
  <si>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</si>
  <si>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</si>
  <si>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</si>
  <si>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</si>
  <si>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</si>
  <si>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</si>
  <si>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</si>
  <si>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</si>
  <si>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</si>
  <si>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</si>
  <si>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</si>
  <si>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</si>
  <si>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</si>
  <si>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</si>
  <si>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</si>
  <si>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</si>
  <si>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</si>
  <si>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</si>
  <si>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</si>
  <si>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</si>
  <si>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</si>
  <si>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</si>
  <si>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</si>
  <si>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</si>
  <si>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</si>
  <si>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</si>
  <si>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</si>
  <si>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</si>
  <si>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</si>
  <si>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</si>
  <si>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</si>
  <si>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</si>
  <si>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</si>
  <si>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</si>
  <si>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</si>
  <si>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</si>
  <si>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</si>
  <si>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</si>
  <si>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</si>
  <si>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</si>
  <si>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</si>
  <si>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</si>
  <si>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</si>
  <si>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</si>
  <si>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</si>
  <si>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</si>
  <si>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</si>
  <si>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</si>
  <si>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</si>
  <si>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</si>
  <si>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</si>
  <si>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</si>
  <si>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</si>
  <si>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</si>
  <si>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</si>
  <si>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</si>
  <si>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</si>
  <si>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</si>
  <si>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</si>
  <si>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</si>
  <si>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</si>
  <si>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</si>
  <si>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</si>
  <si>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</si>
  <si>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</si>
  <si>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</si>
  <si>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</si>
  <si>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</si>
  <si>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</si>
  <si>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</si>
  <si>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</si>
  <si>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</si>
  <si>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</si>
  <si>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</si>
  <si>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</si>
  <si>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</si>
  <si>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</si>
  <si>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</si>
  <si>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</si>
  <si>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</si>
  <si>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</si>
  <si>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</si>
  <si>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</si>
  <si>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</si>
  <si>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</si>
  <si>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</si>
  <si>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</si>
  <si>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</si>
  <si>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</si>
  <si>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</si>
  <si>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</si>
  <si>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</si>
  <si>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</si>
  <si>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</si>
  <si>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</si>
  <si>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</si>
  <si>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</si>
  <si>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</si>
  <si>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</si>
  <si>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</si>
  <si>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</si>
  <si>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</si>
  <si>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</si>
  <si>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</si>
  <si>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</si>
  <si>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</si>
  <si>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</si>
  <si>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</si>
  <si>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</si>
  <si>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</si>
  <si>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</si>
  <si>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</si>
  <si>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</si>
  <si>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</si>
  <si>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</si>
  <si>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</si>
  <si>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</si>
  <si>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</si>
  <si>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</si>
  <si>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</si>
  <si>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</si>
  <si>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</si>
  <si>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</si>
  <si>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</si>
  <si>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</si>
  <si>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</si>
  <si>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</si>
  <si>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</si>
  <si>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</si>
  <si>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</si>
  <si>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</si>
  <si>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</si>
  <si>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</si>
  <si>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</si>
  <si>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</si>
  <si>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</si>
  <si>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</si>
  <si>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</si>
  <si>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</si>
  <si>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</si>
  <si>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</si>
  <si>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</si>
  <si>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</si>
  <si>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</si>
  <si>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</si>
  <si>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</si>
  <si>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</si>
  <si>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</si>
  <si>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</si>
  <si>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</si>
  <si>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</si>
  <si>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</si>
  <si>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</si>
  <si>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</si>
  <si>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</si>
  <si>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</si>
  <si>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</si>
  <si>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</si>
  <si>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</si>
  <si>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</si>
  <si>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</si>
  <si>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</si>
  <si>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</si>
  <si>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</si>
  <si>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</si>
  <si>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</si>
  <si>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</si>
  <si>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</si>
  <si>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</si>
  <si>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</si>
  <si>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</si>
  <si>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</si>
  <si>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</si>
  <si>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</si>
  <si>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</si>
  <si>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</si>
  <si>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</si>
  <si>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</si>
  <si>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</si>
  <si>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</si>
  <si>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</si>
  <si>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</si>
  <si>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</si>
  <si>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</si>
  <si>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</si>
  <si>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</si>
  <si>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</si>
  <si>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</si>
  <si>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</si>
  <si>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</si>
  <si>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</si>
  <si>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</si>
  <si>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</si>
  <si>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</si>
  <si>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</si>
  <si>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</si>
  <si>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</si>
  <si>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</si>
  <si>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</si>
  <si>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</si>
  <si>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</si>
  <si>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</si>
  <si>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</si>
  <si>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</si>
  <si>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</si>
  <si>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</si>
  <si>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</si>
  <si>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</si>
  <si>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</si>
  <si>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</si>
  <si>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</si>
  <si>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</si>
  <si>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</si>
  <si>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</si>
  <si>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</si>
  <si>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</si>
  <si>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</si>
  <si>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</si>
  <si>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</si>
  <si>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</si>
  <si>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</si>
  <si>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</si>
  <si>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</si>
  <si>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</si>
  <si>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</si>
  <si>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</si>
  <si>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</si>
  <si>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</si>
  <si>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</si>
  <si>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</si>
  <si>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</si>
  <si>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</si>
  <si>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</si>
  <si>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</si>
  <si>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</si>
  <si>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</si>
  <si>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</si>
  <si>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</si>
  <si>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</si>
  <si>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</si>
  <si>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</si>
  <si>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</si>
  <si>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</si>
  <si>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</si>
  <si>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</si>
  <si>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</si>
  <si>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</si>
  <si>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</si>
  <si>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</si>
  <si>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</si>
  <si>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</si>
  <si>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</si>
  <si>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</si>
  <si>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</si>
  <si>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</si>
  <si>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</si>
  <si>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</si>
  <si>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</si>
  <si>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</si>
  <si>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</si>
  <si>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</si>
  <si>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</si>
  <si>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</si>
  <si>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</si>
  <si>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</si>
  <si>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</si>
  <si>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</si>
  <si>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</si>
  <si>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</si>
  <si>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</si>
  <si>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</si>
  <si>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</si>
  <si>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</si>
  <si>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</si>
  <si>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</si>
  <si>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</si>
  <si>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</si>
  <si>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</si>
  <si>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</si>
  <si>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</si>
  <si>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</si>
  <si>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</si>
  <si>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</si>
  <si>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</si>
  <si>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</si>
  <si>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</si>
  <si>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</si>
  <si>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</si>
  <si>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</si>
  <si>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</si>
  <si>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</si>
  <si>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</si>
  <si>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</si>
  <si>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</si>
  <si>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</si>
  <si>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</si>
  <si>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</si>
  <si>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</si>
  <si>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</si>
  <si>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</si>
  <si>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</si>
  <si>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</si>
  <si>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</si>
  <si>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</si>
  <si>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</si>
  <si>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</si>
  <si>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</si>
  <si>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</si>
  <si>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</si>
  <si>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</si>
  <si>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</si>
  <si>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</si>
  <si>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</si>
  <si>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</si>
  <si>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</si>
  <si>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</si>
  <si>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</si>
  <si>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</si>
  <si>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</si>
  <si>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</si>
  <si>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</si>
  <si>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</si>
  <si>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</si>
  <si>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</si>
  <si>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</si>
  <si>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</si>
  <si>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</si>
  <si>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</si>
  <si>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</si>
  <si>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</si>
  <si>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</si>
  <si>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</si>
  <si>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</si>
  <si>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</si>
  <si>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</si>
  <si>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</si>
  <si>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</si>
  <si>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</si>
  <si>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</si>
  <si>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</si>
  <si>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</si>
  <si>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</si>
  <si>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</si>
  <si>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</si>
  <si>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</si>
  <si>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</si>
  <si>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</si>
  <si>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</si>
  <si>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</si>
  <si>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</si>
  <si>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</si>
  <si>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</si>
  <si>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</si>
  <si>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</si>
  <si>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</si>
  <si>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</si>
  <si>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</si>
  <si>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</si>
  <si>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</si>
  <si>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</si>
  <si>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</si>
  <si>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</si>
  <si>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</si>
  <si>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</si>
  <si>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</si>
  <si>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</si>
  <si>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</si>
  <si>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</si>
  <si>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</si>
  <si>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</si>
  <si>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</si>
  <si>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</si>
  <si>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</si>
  <si>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</si>
  <si>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</si>
  <si>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</si>
  <si>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</si>
  <si>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</si>
  <si>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</si>
  <si>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</si>
  <si>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</si>
  <si>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</si>
  <si>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</si>
  <si>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</si>
  <si>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</si>
  <si>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</si>
  <si>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</si>
  <si>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</si>
  <si>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</si>
  <si>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</si>
  <si>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</si>
  <si>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</si>
  <si>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</si>
  <si>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</si>
  <si>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</si>
  <si>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</si>
  <si>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</si>
  <si>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</si>
  <si>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</si>
  <si>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</si>
  <si>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</si>
  <si>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</si>
  <si>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</si>
  <si>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</si>
  <si>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</si>
  <si>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</si>
  <si>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</si>
  <si>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</si>
  <si>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</si>
  <si>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</si>
  <si>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</si>
  <si>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</si>
  <si>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</si>
  <si>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</si>
  <si>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</si>
  <si>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</si>
  <si>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</si>
  <si>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</si>
  <si>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</si>
  <si>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</si>
  <si>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</si>
  <si>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</si>
  <si>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</si>
  <si>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</si>
  <si>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</si>
  <si>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</si>
  <si>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</si>
  <si>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</si>
  <si>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</si>
  <si>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</si>
  <si>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</si>
  <si>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</si>
  <si>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</si>
  <si>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</si>
  <si>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</si>
  <si>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</si>
  <si>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</si>
  <si>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</si>
  <si>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</si>
  <si>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</si>
  <si>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</si>
  <si>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</si>
  <si>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</si>
  <si>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</si>
  <si>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</si>
  <si>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</si>
  <si>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</si>
  <si>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</si>
  <si>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</si>
  <si>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</si>
  <si>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</si>
  <si>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</si>
  <si>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</si>
  <si>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</si>
  <si>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</si>
  <si>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</si>
  <si>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</si>
  <si>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</si>
  <si>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</si>
  <si>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</si>
  <si>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</si>
  <si>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</si>
  <si>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</si>
  <si>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</si>
  <si>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</si>
  <si>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</si>
  <si>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</si>
  <si>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</si>
  <si>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</si>
  <si>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</si>
  <si>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</si>
  <si>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</si>
  <si>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</si>
  <si>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</si>
  <si>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</si>
  <si>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</si>
  <si>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</si>
  <si>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</si>
  <si>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</si>
  <si>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</si>
  <si>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</si>
  <si>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</si>
  <si>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</si>
  <si>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</si>
  <si>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</si>
  <si>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</si>
  <si>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</si>
  <si>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</si>
  <si>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</si>
  <si>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</si>
  <si>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</si>
  <si>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</si>
  <si>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</si>
  <si>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</si>
  <si>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</si>
  <si>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</si>
  <si>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</si>
  <si>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</si>
  <si>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</si>
  <si>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</si>
  <si>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</si>
  <si>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</si>
  <si>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</si>
  <si>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</si>
  <si>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</si>
  <si>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</si>
  <si>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</si>
  <si>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</si>
  <si>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</si>
  <si>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</si>
  <si>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</si>
  <si>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</si>
  <si>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</si>
  <si>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</si>
  <si>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</si>
  <si>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</si>
  <si>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</si>
  <si>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</si>
  <si>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</si>
  <si>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</si>
  <si>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</si>
  <si>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</si>
  <si>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</si>
  <si>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</si>
  <si>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</si>
  <si>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</si>
  <si>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</si>
  <si>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</si>
  <si>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</si>
  <si>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</si>
  <si>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</si>
  <si>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</si>
  <si>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</si>
  <si>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</si>
  <si>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</si>
  <si>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</si>
  <si>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</si>
  <si>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</si>
  <si>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</si>
  <si>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</si>
  <si>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</si>
  <si>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</si>
  <si>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</si>
  <si>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</si>
  <si>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</si>
  <si>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</si>
  <si>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</si>
  <si>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</si>
  <si>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</si>
  <si>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</si>
  <si>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</si>
  <si>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</si>
  <si>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</si>
  <si>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</si>
  <si>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</si>
  <si>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</si>
  <si>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</si>
  <si>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</si>
  <si>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</si>
  <si>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</si>
  <si>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</si>
  <si>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</si>
  <si>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</si>
  <si>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</si>
  <si>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</si>
  <si>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</si>
  <si>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</si>
  <si>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</si>
  <si>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</si>
  <si>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</si>
  <si>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</si>
  <si>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</si>
  <si>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</si>
  <si>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</si>
  <si>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</si>
  <si>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</si>
  <si>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</si>
  <si>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</si>
  <si>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</si>
  <si>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</si>
  <si>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</si>
  <si>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</si>
  <si>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</si>
  <si>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</si>
  <si>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</si>
  <si>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</si>
  <si>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</si>
  <si>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</si>
  <si>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</si>
  <si>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</si>
  <si>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</si>
  <si>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</si>
  <si>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</si>
  <si>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</si>
  <si>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</si>
  <si>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</si>
  <si>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</si>
  <si>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</si>
  <si>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</si>
  <si>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</si>
  <si>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</si>
  <si>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</si>
  <si>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</si>
  <si>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</si>
  <si>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</si>
  <si>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</si>
  <si>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</si>
  <si>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</si>
  <si>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</si>
  <si>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</si>
  <si>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</si>
  <si>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</si>
  <si>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</si>
  <si>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</si>
  <si>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</si>
  <si>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</si>
  <si>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</si>
  <si>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</si>
  <si>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</si>
  <si>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</si>
  <si>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</si>
  <si>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</si>
  <si>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</si>
  <si>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</si>
  <si>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</si>
  <si>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</si>
  <si>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</si>
  <si>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</si>
  <si>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</si>
  <si>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</si>
  <si>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</si>
  <si>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</si>
  <si>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</si>
  <si>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</si>
  <si>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</si>
  <si>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</si>
  <si>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</si>
  <si>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</si>
  <si>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</si>
  <si>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</si>
  <si>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</si>
  <si>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</si>
  <si>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</si>
  <si>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</si>
  <si>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</si>
  <si>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</si>
  <si>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</si>
  <si>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</si>
  <si>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</si>
  <si>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</si>
  <si>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</si>
  <si>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</si>
  <si>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</si>
  <si>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</si>
  <si>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</si>
  <si>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</si>
  <si>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</si>
  <si>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</si>
  <si>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</si>
  <si>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</si>
  <si>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</si>
  <si>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</si>
  <si>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</si>
  <si>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</si>
  <si>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</si>
  <si>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</si>
  <si>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</si>
  <si>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</si>
  <si>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</si>
  <si>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</si>
  <si>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</si>
  <si>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</si>
  <si>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</si>
  <si>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</si>
  <si>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</si>
  <si>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</si>
  <si>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</si>
  <si>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</si>
  <si>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</si>
  <si>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</si>
  <si>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</si>
  <si>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</si>
  <si>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</si>
  <si>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</si>
  <si>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</si>
  <si>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</si>
  <si>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</si>
  <si>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</si>
  <si>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</si>
  <si>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</si>
  <si>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</si>
  <si>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</si>
  <si>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</si>
  <si>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</si>
  <si>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</si>
  <si>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</si>
  <si>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</si>
  <si>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</si>
  <si>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</si>
  <si>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</si>
  <si>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</si>
  <si>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</si>
  <si>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</si>
  <si>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</si>
  <si>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</si>
  <si>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</si>
  <si>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</si>
  <si>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</si>
  <si>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</si>
  <si>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</si>
  <si>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</si>
  <si>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</si>
  <si>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</si>
  <si>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</si>
  <si>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</si>
  <si>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</si>
  <si>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</si>
  <si>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</si>
  <si>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</si>
  <si>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</si>
  <si>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</si>
  <si>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</si>
  <si>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</si>
  <si>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</si>
  <si>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</si>
  <si>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</si>
  <si>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</si>
  <si>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</si>
  <si>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</si>
  <si>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</si>
  <si>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</si>
  <si>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</si>
  <si>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</si>
  <si>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</si>
  <si>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</si>
  <si>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</si>
  <si>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</si>
  <si>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</si>
  <si>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</si>
  <si>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</si>
  <si>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</si>
  <si>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</si>
  <si>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</si>
  <si>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</si>
  <si>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</si>
  <si>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</si>
  <si>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</si>
  <si>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</si>
  <si>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</si>
  <si>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</si>
  <si>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</si>
  <si>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</si>
  <si>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</si>
  <si>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</si>
  <si>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</si>
  <si>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</si>
  <si>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</si>
  <si>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</si>
  <si>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</si>
  <si>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</si>
  <si>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</si>
  <si>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</si>
  <si>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</si>
  <si>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</si>
  <si>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</si>
  <si>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</si>
  <si>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</si>
  <si>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</si>
  <si>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</si>
  <si>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</si>
  <si>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</si>
  <si>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</si>
  <si>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</si>
  <si>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</si>
  <si>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</si>
  <si>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</si>
  <si>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</si>
  <si>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</si>
  <si>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</si>
  <si>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</si>
  <si>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</si>
  <si>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</si>
  <si>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</si>
  <si>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</si>
  <si>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</si>
  <si>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</si>
  <si>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</si>
  <si>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</si>
  <si>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</si>
  <si>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</si>
  <si>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</si>
  <si>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</si>
  <si>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</si>
  <si>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</si>
  <si>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</si>
  <si>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</si>
  <si>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</si>
  <si>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</si>
  <si>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</si>
  <si>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</si>
  <si>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</si>
  <si>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</si>
  <si>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</si>
  <si>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</si>
  <si>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</si>
  <si>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</si>
  <si>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</si>
  <si>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</si>
  <si>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</si>
  <si>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</si>
  <si>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</si>
  <si>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</si>
  <si>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</si>
  <si>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</si>
  <si>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</si>
  <si>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</si>
  <si>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</si>
  <si>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</si>
  <si>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</si>
  <si>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</si>
  <si>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</si>
  <si>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</si>
  <si>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</si>
  <si>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</si>
  <si>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</si>
  <si>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</si>
  <si>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</si>
  <si>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</si>
  <si>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</si>
  <si>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</si>
  <si>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</si>
  <si>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</si>
  <si>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</si>
  <si>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</si>
  <si>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</si>
  <si>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</si>
  <si>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</si>
  <si>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</si>
  <si>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</si>
  <si>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</si>
  <si>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</si>
  <si>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</si>
  <si>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</si>
  <si>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</si>
  <si>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</si>
  <si>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</si>
  <si>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</si>
  <si>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</si>
  <si>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</si>
  <si>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</si>
  <si>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</si>
  <si>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</si>
  <si>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</si>
  <si>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</si>
  <si>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</si>
  <si>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</si>
  <si>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</si>
  <si>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</si>
  <si>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</si>
  <si>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</si>
  <si>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</si>
  <si>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</si>
  <si>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</si>
  <si>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</si>
  <si>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</si>
  <si>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</si>
  <si>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</si>
  <si>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</si>
  <si>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</si>
  <si>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</si>
  <si>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</si>
  <si>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</si>
  <si>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</si>
  <si>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</si>
  <si>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</si>
  <si>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</si>
  <si>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</si>
  <si>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</si>
  <si>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</si>
  <si>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</si>
  <si>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</si>
  <si>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</si>
  <si>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</si>
  <si>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</si>
  <si>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</si>
  <si>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</si>
  <si>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</si>
  <si>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</si>
  <si>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</si>
  <si>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</si>
  <si>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</si>
  <si>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</si>
  <si>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</si>
  <si>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</si>
  <si>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</si>
  <si>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</si>
  <si>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</si>
  <si>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</si>
  <si>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</si>
  <si>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</si>
  <si>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</si>
  <si>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</si>
  <si>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</si>
  <si>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</si>
  <si>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</si>
  <si>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</si>
  <si>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</si>
  <si>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</si>
  <si>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</si>
  <si>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</si>
  <si>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</si>
  <si>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</si>
  <si>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</si>
  <si>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</si>
  <si>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</si>
  <si>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</si>
  <si>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</si>
  <si>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</si>
  <si>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</si>
  <si>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</si>
  <si>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</si>
  <si>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</si>
  <si>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</si>
  <si>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</si>
  <si>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</si>
  <si>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</si>
  <si>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</si>
  <si>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</si>
  <si>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</si>
  <si>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</si>
  <si>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</si>
  <si>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</si>
  <si>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</si>
  <si>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</si>
  <si>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</si>
  <si>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</si>
  <si>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</si>
  <si>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</si>
  <si>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</si>
  <si>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</si>
  <si>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</si>
  <si>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</si>
  <si>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</si>
  <si>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</si>
  <si>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</si>
  <si>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</si>
  <si>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</si>
  <si>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</si>
  <si>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</si>
  <si>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</si>
  <si>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</si>
  <si>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</si>
  <si>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</si>
  <si>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</si>
  <si>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</si>
  <si>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</si>
  <si>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</si>
  <si>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</si>
  <si>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</si>
  <si>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</si>
  <si>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</si>
  <si>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</si>
  <si>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</si>
  <si>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</si>
  <si>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</si>
  <si>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</si>
  <si>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</si>
  <si>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</si>
  <si>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</si>
  <si>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</si>
  <si>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</si>
  <si>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</si>
  <si>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</si>
  <si>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</si>
  <si>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</si>
  <si>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</si>
  <si>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</si>
  <si>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</si>
  <si>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</si>
  <si>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</si>
  <si>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</si>
  <si>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</si>
  <si>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</si>
  <si>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</si>
  <si>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</si>
  <si>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</si>
  <si>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</si>
  <si>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</si>
  <si>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</si>
  <si>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</si>
  <si>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</si>
  <si>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</si>
  <si>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</si>
  <si>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</si>
  <si>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</si>
  <si>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</si>
  <si>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</si>
  <si>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</si>
  <si>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</si>
  <si>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</si>
  <si>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</si>
  <si>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</si>
  <si>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</si>
  <si>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</si>
  <si>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</si>
  <si>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</si>
  <si>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</si>
  <si>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</si>
  <si>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</si>
  <si>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</si>
  <si>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</si>
  <si>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</si>
  <si>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</si>
  <si>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</si>
  <si>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</si>
  <si>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</si>
  <si>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</si>
  <si>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</si>
  <si>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</si>
  <si>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</si>
  <si>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</si>
  <si>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</si>
  <si>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</si>
  <si>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</si>
  <si>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</si>
  <si>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</si>
  <si>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</si>
  <si>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</si>
  <si>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</si>
  <si>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</si>
  <si>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</si>
  <si>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</si>
  <si>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</si>
  <si>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</si>
  <si>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</si>
  <si>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</si>
  <si>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</si>
  <si>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</si>
  <si>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</si>
  <si>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</si>
  <si>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</si>
  <si>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</si>
  <si>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</si>
  <si>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</si>
  <si>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</si>
  <si>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</si>
  <si>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</si>
  <si>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</si>
  <si>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</si>
  <si>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</si>
  <si>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</si>
  <si>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</si>
  <si>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</si>
  <si>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</si>
  <si>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</si>
  <si>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</si>
  <si>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</si>
  <si>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</si>
  <si>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</si>
  <si>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</si>
  <si>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</si>
  <si>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</si>
  <si>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</si>
  <si>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</si>
  <si>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</si>
  <si>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</si>
  <si>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</si>
  <si>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</si>
  <si>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</si>
  <si>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</si>
  <si>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</si>
  <si>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</si>
  <si>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</si>
  <si>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</si>
  <si>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</si>
  <si>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</si>
  <si>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</si>
  <si>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</si>
  <si>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</si>
  <si>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</si>
  <si>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</si>
  <si>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</si>
  <si>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</si>
  <si>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</si>
  <si>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</si>
  <si>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</si>
  <si>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</si>
  <si>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</si>
  <si>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</si>
  <si>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</si>
  <si>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</si>
  <si>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</si>
  <si>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</si>
  <si>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</si>
  <si>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</si>
  <si>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</si>
  <si>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</si>
  <si>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</si>
  <si>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</si>
  <si>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</si>
  <si>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</si>
  <si>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</si>
  <si>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</si>
  <si>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</si>
  <si>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</si>
  <si>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</si>
  <si>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</si>
  <si>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</si>
  <si>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</si>
  <si>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</si>
  <si>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</si>
  <si>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</si>
  <si>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</si>
  <si>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</si>
  <si>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</si>
  <si>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</si>
  <si>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</si>
  <si>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</si>
  <si>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</si>
  <si>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</si>
  <si>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</si>
  <si>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</si>
  <si>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</si>
  <si>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</si>
  <si>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</si>
  <si>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</si>
  <si>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</si>
  <si>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</si>
  <si>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</si>
  <si>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</si>
  <si>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</si>
  <si>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</si>
  <si>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</si>
  <si>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</si>
  <si>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</si>
  <si>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</si>
  <si>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</si>
  <si>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</si>
  <si>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</si>
  <si>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</si>
  <si>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</si>
  <si>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</si>
  <si>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</si>
  <si>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</si>
  <si>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</si>
  <si>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</si>
  <si>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</si>
  <si>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</si>
  <si>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</si>
  <si>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</si>
  <si>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</si>
  <si>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</si>
  <si>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</si>
  <si>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</si>
  <si>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</si>
  <si>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</si>
  <si>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</si>
  <si>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</si>
  <si>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</si>
  <si>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</si>
  <si>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</si>
  <si>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</si>
  <si>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</si>
  <si>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</si>
  <si>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</si>
  <si>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</si>
  <si>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</si>
  <si>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</si>
  <si>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</si>
  <si>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</si>
  <si>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</si>
  <si>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</si>
  <si>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</si>
  <si>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</si>
  <si>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</si>
  <si>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</si>
  <si>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</si>
  <si>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</si>
  <si>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</si>
  <si>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</si>
  <si>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</si>
  <si>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</si>
  <si>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</si>
  <si>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</si>
  <si>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</si>
  <si>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</si>
  <si>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</si>
  <si>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</si>
  <si>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</si>
  <si>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</si>
  <si>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</si>
  <si>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</si>
  <si>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</si>
  <si>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</si>
  <si>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</si>
  <si>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</si>
  <si>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</si>
  <si>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</si>
  <si>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</si>
  <si>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</si>
  <si>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</si>
  <si>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</si>
  <si>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</si>
  <si>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</si>
  <si>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</si>
  <si>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</si>
  <si>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</si>
  <si>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</si>
  <si>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</si>
  <si>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</si>
  <si>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</si>
  <si>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</si>
  <si>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</si>
  <si>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</si>
  <si>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</si>
  <si>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</si>
  <si>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</si>
  <si>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</si>
  <si>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</si>
  <si>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</si>
  <si>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</si>
  <si>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</si>
  <si>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</si>
  <si>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</si>
  <si>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</si>
  <si>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</si>
  <si>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</si>
  <si>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</si>
  <si>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</si>
  <si>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</si>
  <si>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</si>
  <si>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</si>
  <si>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</si>
  <si>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</si>
  <si>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</si>
  <si>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</si>
  <si>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</si>
  <si>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</si>
  <si>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</si>
  <si>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</si>
  <si>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</si>
  <si>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</si>
  <si>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</si>
  <si>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</si>
  <si>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</si>
  <si>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</si>
  <si>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</si>
  <si>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</si>
  <si>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</si>
  <si>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</si>
  <si>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</si>
  <si>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</si>
  <si>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</si>
  <si>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</si>
  <si>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</si>
  <si>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</si>
  <si>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</si>
  <si>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</si>
  <si>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</si>
  <si>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</si>
  <si>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</si>
  <si>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</si>
  <si>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</si>
  <si>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</si>
  <si>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</si>
  <si>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</si>
  <si>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</si>
  <si>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</si>
  <si>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</si>
  <si>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</si>
  <si>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</si>
  <si>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</si>
  <si>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</si>
  <si>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</si>
  <si>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</si>
  <si>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</si>
  <si>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</si>
  <si>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</si>
  <si>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</si>
  <si>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</si>
  <si>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</si>
  <si>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</si>
  <si>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</si>
  <si>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</si>
  <si>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</si>
  <si>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</si>
  <si>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</si>
  <si>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</si>
  <si>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</si>
  <si>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</si>
  <si>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</si>
  <si>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</si>
  <si>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</si>
  <si>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</si>
  <si>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</si>
  <si>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</si>
  <si>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</si>
  <si>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</si>
  <si>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</si>
  <si>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</si>
  <si>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</si>
  <si>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</si>
  <si>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</si>
  <si>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</si>
  <si>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</si>
  <si>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</si>
  <si>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</si>
  <si>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</si>
  <si>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</si>
  <si>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</si>
  <si>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</si>
  <si>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</si>
  <si>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</si>
  <si>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</si>
  <si>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</si>
  <si>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</si>
  <si>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</si>
  <si>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</si>
  <si>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</si>
  <si>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</si>
  <si>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</si>
  <si>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</si>
  <si>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</si>
  <si>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</si>
  <si>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</si>
  <si>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</si>
  <si>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</si>
  <si>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</si>
  <si>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</si>
  <si>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</si>
  <si>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</si>
  <si>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</si>
  <si>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</si>
  <si>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</si>
  <si>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</si>
  <si>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</si>
  <si>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</si>
  <si>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</si>
  <si>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</si>
  <si>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</si>
  <si>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</si>
  <si>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</si>
  <si>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</si>
  <si>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</si>
  <si>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</si>
  <si>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</si>
  <si>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</si>
  <si>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</si>
  <si>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</si>
  <si>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</si>
  <si>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</si>
  <si>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</si>
  <si>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</si>
  <si>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</si>
  <si>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</si>
  <si>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</si>
  <si>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</si>
  <si>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</si>
  <si>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</si>
  <si>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</si>
  <si>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</si>
  <si>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</si>
  <si>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</si>
  <si>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</si>
  <si>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</si>
  <si>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</si>
  <si>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</si>
  <si>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</si>
  <si>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</si>
  <si>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</si>
  <si>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</si>
  <si>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</si>
  <si>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</si>
  <si>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</si>
  <si>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</si>
  <si>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</si>
  <si>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</si>
  <si>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</si>
  <si>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</si>
  <si>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</si>
  <si>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</si>
  <si>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</si>
  <si>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</si>
  <si>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</si>
  <si>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</si>
  <si>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</si>
  <si>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</si>
  <si>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</si>
  <si>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</si>
  <si>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</si>
  <si>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</si>
  <si>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</si>
  <si>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</si>
  <si>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</si>
  <si>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</si>
  <si>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</si>
  <si>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</si>
  <si>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</si>
  <si>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</si>
  <si>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</si>
  <si>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</si>
  <si>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</si>
  <si>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</si>
  <si>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</si>
  <si>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</si>
  <si>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</si>
  <si>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</si>
  <si>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</si>
  <si>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</si>
  <si>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</si>
  <si>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</si>
  <si>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</si>
  <si>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</si>
  <si>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</si>
  <si>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</si>
  <si>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</si>
  <si>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</si>
  <si>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</si>
  <si>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</si>
  <si>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</si>
  <si>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</si>
  <si>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</si>
  <si>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</si>
  <si>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</si>
  <si>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</si>
  <si>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</si>
  <si>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</si>
  <si>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</si>
  <si>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</si>
  <si>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</si>
  <si>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</si>
  <si>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</si>
  <si>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</si>
  <si>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</si>
  <si>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</si>
  <si>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</si>
  <si>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</si>
  <si>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</si>
  <si>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</si>
  <si>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</si>
  <si>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</si>
  <si>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</si>
  <si>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</si>
  <si>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</si>
  <si>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</si>
  <si>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</si>
  <si>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</si>
  <si>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</si>
  <si>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</si>
  <si>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</si>
  <si>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</si>
  <si>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</si>
  <si>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</si>
  <si>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</si>
  <si>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</si>
  <si>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</si>
  <si>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</si>
  <si>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</si>
  <si>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</si>
  <si>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</si>
  <si>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</si>
  <si>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</si>
  <si>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</si>
  <si>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</si>
  <si>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</si>
  <si>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</si>
  <si>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</si>
  <si>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</si>
  <si>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</si>
  <si>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</si>
  <si>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</si>
  <si>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</si>
  <si>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</si>
  <si>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</si>
  <si>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</si>
  <si>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</si>
  <si>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</si>
  <si>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</si>
  <si>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</si>
  <si>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</si>
  <si>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</si>
  <si>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</si>
  <si>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</si>
  <si>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</si>
  <si>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</si>
  <si>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</si>
  <si>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</si>
  <si>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</si>
  <si>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</si>
  <si>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</si>
  <si>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</si>
  <si>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</si>
  <si>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</si>
  <si>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</si>
  <si>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</si>
  <si>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</si>
  <si>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</si>
  <si>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</si>
  <si>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</si>
  <si>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</si>
  <si>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</si>
  <si>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</si>
  <si>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</si>
  <si>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</si>
  <si>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</si>
  <si>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</si>
  <si>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</si>
  <si>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</si>
  <si>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</si>
  <si>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</si>
  <si>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</si>
  <si>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</si>
  <si>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</si>
  <si>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</si>
  <si>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</si>
  <si>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</si>
  <si>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</si>
  <si>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</si>
  <si>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</si>
  <si>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</si>
  <si>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</si>
  <si>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</si>
  <si>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</si>
  <si>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</si>
  <si>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</si>
  <si>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</si>
  <si>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</si>
  <si>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</si>
  <si>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</si>
  <si>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</si>
  <si>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</si>
  <si>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</si>
  <si>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</si>
  <si>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</si>
  <si>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</si>
  <si>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</si>
  <si>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</si>
  <si>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</si>
  <si>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</si>
  <si>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</si>
  <si>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</si>
  <si>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</si>
  <si>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</si>
  <si>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</si>
  <si>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</si>
  <si>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</si>
  <si>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</si>
  <si>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</si>
  <si>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</si>
  <si>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</si>
  <si>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</si>
  <si>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</si>
  <si>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</si>
  <si>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</si>
  <si>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</si>
  <si>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</si>
  <si>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</si>
  <si>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</si>
  <si>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</si>
  <si>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</si>
  <si>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</si>
  <si>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</si>
  <si>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</si>
  <si>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</si>
  <si>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</si>
  <si>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</si>
  <si>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</si>
  <si>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</si>
  <si>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</si>
  <si>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</si>
  <si>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</si>
  <si>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</si>
  <si>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</si>
  <si>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</si>
  <si>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</si>
  <si>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</si>
  <si>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</si>
  <si>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</si>
  <si>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</si>
  <si>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</si>
  <si>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</si>
  <si>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</si>
  <si>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</si>
  <si>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</si>
  <si>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</si>
  <si>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</si>
  <si>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</si>
  <si>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</si>
  <si>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</si>
  <si>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</si>
  <si>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</si>
  <si>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</si>
  <si>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</si>
  <si>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</si>
  <si>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</si>
  <si>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</si>
  <si>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</si>
  <si>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</si>
  <si>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</si>
  <si>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</si>
  <si>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</si>
  <si>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</si>
  <si>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</si>
  <si>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</si>
  <si>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</si>
  <si>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</si>
  <si>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</si>
  <si>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</si>
  <si>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</si>
  <si>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</si>
  <si>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</si>
  <si>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</si>
  <si>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</si>
  <si>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</si>
  <si>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</si>
  <si>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</si>
  <si>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</si>
  <si>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</si>
  <si>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</si>
  <si>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</si>
  <si>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</si>
  <si>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</si>
  <si>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</si>
  <si>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</si>
  <si>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</si>
  <si>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</si>
  <si>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</si>
  <si>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</si>
  <si>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</si>
  <si>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</si>
  <si>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</si>
  <si>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</si>
  <si>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</si>
  <si>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</si>
  <si>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</si>
  <si>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</si>
  <si>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</si>
  <si>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</si>
  <si>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</si>
  <si>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</si>
  <si>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</si>
  <si>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</si>
  <si>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</si>
  <si>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</si>
  <si>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</si>
  <si>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</si>
  <si>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</si>
  <si>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</si>
  <si>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</si>
  <si>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</si>
  <si>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</si>
  <si>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</si>
  <si>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</si>
  <si>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</si>
  <si>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</si>
  <si>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</si>
  <si>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</si>
  <si>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</si>
  <si>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</si>
  <si>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</si>
  <si>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</si>
  <si>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</si>
  <si>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</si>
  <si>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</si>
  <si>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</si>
  <si>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</si>
  <si>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</si>
  <si>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</si>
  <si>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</si>
  <si>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</si>
  <si>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</si>
  <si>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</si>
  <si>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</si>
  <si>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</si>
  <si>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</si>
  <si>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</si>
  <si>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</si>
  <si>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</si>
  <si>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</si>
  <si>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</si>
  <si>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</si>
  <si>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</si>
  <si>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</si>
  <si>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</si>
  <si>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</si>
  <si>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</si>
  <si>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</si>
  <si>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</si>
  <si>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</si>
  <si>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</si>
  <si>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</si>
  <si>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</si>
  <si>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</si>
  <si>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</si>
  <si>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</si>
  <si>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</si>
  <si>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</si>
  <si>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</si>
  <si>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</si>
  <si>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</si>
  <si>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</si>
  <si>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</si>
  <si>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</si>
  <si>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</si>
  <si>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</si>
  <si>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</si>
  <si>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</si>
  <si>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</si>
  <si>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</si>
  <si>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</si>
  <si>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</si>
  <si>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</si>
  <si>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</si>
  <si>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</si>
  <si>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</si>
  <si>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</si>
  <si>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</si>
  <si>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</si>
  <si>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</si>
  <si>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</si>
  <si>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</si>
  <si>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</si>
  <si>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</si>
  <si>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</si>
  <si>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</si>
  <si>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</si>
  <si>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</si>
  <si>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</si>
  <si>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</si>
  <si>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</si>
  <si>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</si>
  <si>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</si>
  <si>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</si>
  <si>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</si>
  <si>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</si>
  <si>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</si>
  <si>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</si>
  <si>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</si>
  <si>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</si>
  <si>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</si>
  <si>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</si>
  <si>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</si>
  <si>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</si>
  <si>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</si>
  <si>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</si>
  <si>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</si>
  <si>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</si>
  <si>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</si>
  <si>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</si>
  <si>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</si>
  <si>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</si>
  <si>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</si>
  <si>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</si>
  <si>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</si>
  <si>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</si>
  <si>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</si>
  <si>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</si>
  <si>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</si>
  <si>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</si>
  <si>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</si>
  <si>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</si>
  <si>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</si>
  <si>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</si>
  <si>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</si>
  <si>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</si>
  <si>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</si>
  <si>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</si>
  <si>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</si>
  <si>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</si>
  <si>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</si>
  <si>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</si>
  <si>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</si>
  <si>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</si>
  <si>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</si>
  <si>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</si>
  <si>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</si>
  <si>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</si>
  <si>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</si>
  <si>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</si>
  <si>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</si>
  <si>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</si>
  <si>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</si>
  <si>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</si>
  <si>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</si>
  <si>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</si>
  <si>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</si>
  <si>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</si>
  <si>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</si>
  <si>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</si>
  <si>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</si>
  <si>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</si>
  <si>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</si>
  <si>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</si>
  <si>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</si>
  <si>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</si>
  <si>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</si>
  <si>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</si>
  <si>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</si>
  <si>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</si>
  <si>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</si>
  <si>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</si>
  <si>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</si>
  <si>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</si>
  <si>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</si>
  <si>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</si>
  <si>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</si>
  <si>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</si>
  <si>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</si>
  <si>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</si>
  <si>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</si>
  <si>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</si>
  <si>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</si>
  <si>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</si>
  <si>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</si>
  <si>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</si>
  <si>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</si>
  <si>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</si>
  <si>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</si>
  <si>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</si>
  <si>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</si>
  <si>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</si>
  <si>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</si>
  <si>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</si>
  <si>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</si>
  <si>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</si>
  <si>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</si>
  <si>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</si>
  <si>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</si>
  <si>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</si>
  <si>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</si>
  <si>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</si>
  <si>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</si>
  <si>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</si>
  <si>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</si>
  <si>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</si>
  <si>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</si>
  <si>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</si>
  <si>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</si>
  <si>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</si>
  <si>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</si>
  <si>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</si>
  <si>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</si>
  <si>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</si>
  <si>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</si>
  <si>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</si>
  <si>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</si>
  <si>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</si>
  <si>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</si>
  <si>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</si>
  <si>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</si>
  <si>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</si>
  <si>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</si>
  <si>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</si>
  <si>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</si>
  <si>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</si>
  <si>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</si>
  <si>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</si>
  <si>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</si>
  <si>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</si>
  <si>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</si>
  <si>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</si>
  <si>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</si>
  <si>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</si>
  <si>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</si>
  <si>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</si>
  <si>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</si>
  <si>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</si>
  <si>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</si>
  <si>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</si>
  <si>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</si>
  <si>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</si>
  <si>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</si>
  <si>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</si>
  <si>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</si>
  <si>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</si>
  <si>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</si>
  <si>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</si>
  <si>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</si>
  <si>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</si>
  <si>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</si>
  <si>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</si>
  <si>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</si>
  <si>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</si>
  <si>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</si>
  <si>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</si>
  <si>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</si>
  <si>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</si>
  <si>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</si>
  <si>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</si>
  <si>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</si>
  <si>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</si>
  <si>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</si>
  <si>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</si>
  <si>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</si>
  <si>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</si>
  <si>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</si>
  <si>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</si>
  <si>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</si>
  <si>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</si>
  <si>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</si>
  <si>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</si>
  <si>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</si>
  <si>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</si>
  <si>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</si>
  <si>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</si>
  <si>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</si>
  <si>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</si>
  <si>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</si>
  <si>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</si>
  <si>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</si>
  <si>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</si>
  <si>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</si>
  <si>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</si>
  <si>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</si>
  <si>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</si>
  <si>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</si>
  <si>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</si>
  <si>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</si>
  <si>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</si>
  <si>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</si>
  <si>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</si>
  <si>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</si>
  <si>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</si>
  <si>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</si>
  <si>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</si>
  <si>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</si>
  <si>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</si>
  <si>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</si>
  <si>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</si>
  <si>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</si>
  <si>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</si>
  <si>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</si>
  <si>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</si>
  <si>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</si>
  <si>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</si>
  <si>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</si>
  <si>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</si>
  <si>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</si>
  <si>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</si>
  <si>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</si>
  <si>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</si>
  <si>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</si>
  <si>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</si>
  <si>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</si>
  <si>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</si>
  <si>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</si>
  <si>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</si>
  <si>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</si>
  <si>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</si>
  <si>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</si>
  <si>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</si>
  <si>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</si>
  <si>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</si>
  <si>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</si>
  <si>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</si>
  <si>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</si>
  <si>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</si>
  <si>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</si>
  <si>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</si>
  <si>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</si>
  <si>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</si>
  <si>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</si>
  <si>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</si>
  <si>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</si>
  <si>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</si>
  <si>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</si>
  <si>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</si>
  <si>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</si>
  <si>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</si>
  <si>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</si>
  <si>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</si>
  <si>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</si>
  <si>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</si>
  <si>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</si>
  <si>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</si>
  <si>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</si>
  <si>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</si>
  <si>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</si>
  <si>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</si>
  <si>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</si>
  <si>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</si>
  <si>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</si>
  <si>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</si>
  <si>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</si>
  <si>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</si>
  <si>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</si>
  <si>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</si>
  <si>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</si>
  <si>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</si>
  <si>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</si>
  <si>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</si>
  <si>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</si>
  <si>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</si>
  <si>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</si>
  <si>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</si>
  <si>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</si>
  <si>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</si>
  <si>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</si>
  <si>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</si>
  <si>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</si>
  <si>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</si>
  <si>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</si>
  <si>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</si>
  <si>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</si>
  <si>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</si>
  <si>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</si>
  <si>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</si>
  <si>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</si>
  <si>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</si>
  <si>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</si>
  <si>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</si>
  <si>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</si>
  <si>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</si>
  <si>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</si>
  <si>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</si>
  <si>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</si>
  <si>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</si>
  <si>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</si>
  <si>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</si>
  <si>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</si>
  <si>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</si>
  <si>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</si>
  <si>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</si>
  <si>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</si>
  <si>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</si>
  <si>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</si>
  <si>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</si>
  <si>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</si>
  <si>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</si>
  <si>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</si>
  <si>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</si>
  <si>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</si>
  <si>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</si>
  <si>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</si>
  <si>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</si>
  <si>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</si>
  <si>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</si>
  <si>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</si>
  <si>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</si>
  <si>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</si>
  <si>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</si>
  <si>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</si>
  <si>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</si>
  <si>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</si>
  <si>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</si>
  <si>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</si>
  <si>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</si>
  <si>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</si>
  <si>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</si>
  <si>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</si>
  <si>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</si>
  <si>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</si>
  <si>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</si>
  <si>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</si>
  <si>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</si>
  <si>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</si>
  <si>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</si>
  <si>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</si>
  <si>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</si>
  <si>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</si>
  <si>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</si>
  <si>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</si>
  <si>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</si>
  <si>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</si>
  <si>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</si>
  <si>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</si>
  <si>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</si>
  <si>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</si>
  <si>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</si>
  <si>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</si>
  <si>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</si>
  <si>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</si>
  <si>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</si>
  <si>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</si>
  <si>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</si>
  <si>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</si>
  <si>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</si>
  <si>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</si>
  <si>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</si>
  <si>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</si>
  <si>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</si>
  <si>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</si>
  <si>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</si>
  <si>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</si>
  <si>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</si>
  <si>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</si>
  <si>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</si>
  <si>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</si>
  <si>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</si>
  <si>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</si>
  <si>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</si>
  <si>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</si>
  <si>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</si>
  <si>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</si>
  <si>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</si>
  <si>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</si>
  <si>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</si>
  <si>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</si>
  <si>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</si>
  <si>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</si>
  <si>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</si>
  <si>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</si>
  <si>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</si>
  <si>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</si>
  <si>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</si>
  <si>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</si>
  <si>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</si>
  <si>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</si>
  <si>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</si>
  <si>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</si>
  <si>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</si>
  <si>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</si>
  <si>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</si>
  <si>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</si>
  <si>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</si>
  <si>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</si>
  <si>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</si>
  <si>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</si>
  <si>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</si>
  <si>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</si>
  <si>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</si>
  <si>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</si>
  <si>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</si>
  <si>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</si>
  <si>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</si>
  <si>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</si>
  <si>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</si>
  <si>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</si>
  <si>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</si>
  <si>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</si>
  <si>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</si>
  <si>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</si>
  <si>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</si>
  <si>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</si>
  <si>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</si>
  <si>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</si>
  <si>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</si>
  <si>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</si>
  <si>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</si>
  <si>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</si>
  <si>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</si>
  <si>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</si>
  <si>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</si>
  <si>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</si>
  <si>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</si>
  <si>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</si>
  <si>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</si>
  <si>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</si>
  <si>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</si>
  <si>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</si>
  <si>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</si>
  <si>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</si>
  <si>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</si>
  <si>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</si>
  <si>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</si>
  <si>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</si>
  <si>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</si>
  <si>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</si>
  <si>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</si>
  <si>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</si>
  <si>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</si>
  <si>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</si>
  <si>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</si>
  <si>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</si>
  <si>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</si>
  <si>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</si>
  <si>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</si>
  <si>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</si>
  <si>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</si>
  <si>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</si>
  <si>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</si>
  <si>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</si>
  <si>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</si>
  <si>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</si>
  <si>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</si>
  <si>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</si>
  <si>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</si>
  <si>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</si>
  <si>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</si>
  <si>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</si>
  <si>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</si>
  <si>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</si>
  <si>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</si>
  <si>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</si>
  <si>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</si>
  <si>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</si>
  <si>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</si>
  <si>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</si>
  <si>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</si>
  <si>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</si>
  <si>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</si>
  <si>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</si>
  <si>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</si>
  <si>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</si>
  <si>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</si>
  <si>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</si>
  <si>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</si>
  <si>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</si>
  <si>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</si>
  <si>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</si>
  <si>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</si>
  <si>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</si>
  <si>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</si>
  <si>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</si>
  <si>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</si>
  <si>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</si>
  <si>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</si>
  <si>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</si>
  <si>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</si>
  <si>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</si>
  <si>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</si>
  <si>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</si>
  <si>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</si>
  <si>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</si>
  <si>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</si>
  <si>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</si>
  <si>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</si>
  <si>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</si>
  <si>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</si>
  <si>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</si>
  <si>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</si>
  <si>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</si>
  <si>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</si>
  <si>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</si>
  <si>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</si>
  <si>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</si>
  <si>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</si>
  <si>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</si>
  <si>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</si>
  <si>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</si>
  <si>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</si>
  <si>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</si>
  <si>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</si>
  <si>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</si>
  <si>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</si>
  <si>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</si>
  <si>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</si>
  <si>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</si>
  <si>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</si>
  <si>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</si>
  <si>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</si>
  <si>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</si>
  <si>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</si>
  <si>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</si>
  <si>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</si>
  <si>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</si>
  <si>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</si>
  <si>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</si>
  <si>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</si>
  <si>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</si>
  <si>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</si>
  <si>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</si>
  <si>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</si>
  <si>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</si>
  <si>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</si>
  <si>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</si>
  <si>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</si>
  <si>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</si>
  <si>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</si>
  <si>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</si>
  <si>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</si>
  <si>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</si>
  <si>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</si>
  <si>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</si>
  <si>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</si>
  <si>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</si>
  <si>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</si>
  <si>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</si>
  <si>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</si>
  <si>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</si>
  <si>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</si>
  <si>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</si>
  <si>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</si>
  <si>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</si>
  <si>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</si>
  <si>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</si>
  <si>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</si>
  <si>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</si>
  <si>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</si>
  <si>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</si>
  <si>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</si>
  <si>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</si>
  <si>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</si>
  <si>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</si>
  <si>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</si>
  <si>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</si>
  <si>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</si>
  <si>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</si>
  <si>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</si>
  <si>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</si>
  <si>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</si>
  <si>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</si>
  <si>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</si>
  <si>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</si>
  <si>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</si>
  <si>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</si>
  <si>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</si>
  <si>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</si>
  <si>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</si>
  <si>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</si>
  <si>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</si>
  <si>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</si>
  <si>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</si>
  <si>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</si>
  <si>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</si>
  <si>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</si>
  <si>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</si>
  <si>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</si>
  <si>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</si>
  <si>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</si>
  <si>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</si>
  <si>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</si>
  <si>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</si>
  <si>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</si>
  <si>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</si>
  <si>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</si>
  <si>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</si>
  <si>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</si>
  <si>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</si>
  <si>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</si>
  <si>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</si>
  <si>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</si>
  <si>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</si>
  <si>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</si>
  <si>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</si>
  <si>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</si>
  <si>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</si>
  <si>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</si>
  <si>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</si>
  <si>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</si>
  <si>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</si>
  <si>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</si>
  <si>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</si>
  <si>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</si>
  <si>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</si>
  <si>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</si>
  <si>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</si>
  <si>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</si>
  <si>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</si>
  <si>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</si>
  <si>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</si>
  <si>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</si>
  <si>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</si>
  <si>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</si>
  <si>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</si>
  <si>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</si>
  <si>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</si>
  <si>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</si>
  <si>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</si>
  <si>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</si>
  <si>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</si>
  <si>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</si>
  <si>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</si>
  <si>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</si>
  <si>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</si>
  <si>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</si>
  <si>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</si>
  <si>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</si>
  <si>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</si>
  <si>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</si>
  <si>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</si>
  <si>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</si>
  <si>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</si>
  <si>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</si>
  <si>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</si>
  <si>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</si>
  <si>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</si>
  <si>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</si>
  <si>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</si>
  <si>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</si>
  <si>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</si>
  <si>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</si>
  <si>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</si>
  <si>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</si>
  <si>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</si>
  <si>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</si>
  <si>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</si>
  <si>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</si>
  <si>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</si>
  <si>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</si>
  <si>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</si>
  <si>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</si>
  <si>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</si>
  <si>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</si>
  <si>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</si>
  <si>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</si>
  <si>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</si>
  <si>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</si>
  <si>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</si>
  <si>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</si>
  <si>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</si>
  <si>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</si>
  <si>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</si>
  <si>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</si>
  <si>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</si>
  <si>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</si>
  <si>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</si>
  <si>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</si>
  <si>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</si>
  <si>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</si>
  <si>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</si>
  <si>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</si>
  <si>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</si>
  <si>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</si>
  <si>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</si>
  <si>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</si>
  <si>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</si>
  <si>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</si>
  <si>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</si>
  <si>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</si>
  <si>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</si>
  <si>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</si>
  <si>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</si>
  <si>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</si>
  <si>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</si>
  <si>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</si>
  <si>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</si>
  <si>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</si>
  <si>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</si>
  <si>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</si>
  <si>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</si>
  <si>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</si>
  <si>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</si>
  <si>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</si>
  <si>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</si>
  <si>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</si>
  <si>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</si>
  <si>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</si>
  <si>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</si>
  <si>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</si>
  <si>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</si>
  <si>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</si>
  <si>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</si>
  <si>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</si>
  <si>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</si>
  <si>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</si>
  <si>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</si>
  <si>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</si>
  <si>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</si>
  <si>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</si>
  <si>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</si>
  <si>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</si>
  <si>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</si>
  <si>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</si>
  <si>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</si>
  <si>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</si>
  <si>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</si>
  <si>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</si>
  <si>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</si>
  <si>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</si>
  <si>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</si>
  <si>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</si>
  <si>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</si>
  <si>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</si>
  <si>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</si>
  <si>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</si>
  <si>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</si>
  <si>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</si>
  <si>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</si>
  <si>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</si>
  <si>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</si>
  <si>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</si>
  <si>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</si>
  <si>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</si>
  <si>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</si>
  <si>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</si>
  <si>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</si>
  <si>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</si>
  <si>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</si>
  <si>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</si>
  <si>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</si>
  <si>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</si>
  <si>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</si>
  <si>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</si>
  <si>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</si>
  <si>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</si>
  <si>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</si>
  <si>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</si>
  <si>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</si>
  <si>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</si>
  <si>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</si>
  <si>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</si>
  <si>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</si>
  <si>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</si>
  <si>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</si>
  <si>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</si>
  <si>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</si>
  <si>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</si>
  <si>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</si>
  <si>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</si>
  <si>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</si>
  <si>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</si>
  <si>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</si>
  <si>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</si>
  <si>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</si>
  <si>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</si>
  <si>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</si>
  <si>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</si>
  <si>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</si>
  <si>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</si>
  <si>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</si>
  <si>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</si>
  <si>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</si>
  <si>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</si>
  <si>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</si>
  <si>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</si>
  <si>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</si>
  <si>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</si>
  <si>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</si>
  <si>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</si>
  <si>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</si>
  <si>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</si>
  <si>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</si>
  <si>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</si>
  <si>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</si>
  <si>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</si>
  <si>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</si>
  <si>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</si>
  <si>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</si>
  <si>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</si>
  <si>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</si>
  <si>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</si>
  <si>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</si>
  <si>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</si>
  <si>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</si>
  <si>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</si>
  <si>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</si>
  <si>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</si>
  <si>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</si>
  <si>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</si>
  <si>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</si>
  <si>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</si>
  <si>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</si>
  <si>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</si>
  <si>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</si>
  <si>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</si>
  <si>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</si>
  <si>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</si>
  <si>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</si>
  <si>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</si>
  <si>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</si>
  <si>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</si>
  <si>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</si>
  <si>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</si>
  <si>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</si>
  <si>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</si>
  <si>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</si>
  <si>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</si>
  <si>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</si>
  <si>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</si>
  <si>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</si>
  <si>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</si>
  <si>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</si>
  <si>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</si>
  <si>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</si>
  <si>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</si>
  <si>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</si>
  <si>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</si>
  <si>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</si>
  <si>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</si>
  <si>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</si>
  <si>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</si>
  <si>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</si>
  <si>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</si>
  <si>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</si>
  <si>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</si>
  <si>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</si>
  <si>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</si>
  <si>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</si>
  <si>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</si>
  <si>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</si>
  <si>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</si>
  <si>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</si>
  <si>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</si>
  <si>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</si>
  <si>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</si>
  <si>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</si>
  <si>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</si>
  <si>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</si>
  <si>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</si>
  <si>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</si>
  <si>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</si>
  <si>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</si>
  <si>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</si>
  <si>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</si>
  <si>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</si>
  <si>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</si>
  <si>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</si>
  <si>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</si>
  <si>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</si>
  <si>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</si>
  <si>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</si>
  <si>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</si>
  <si>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</si>
  <si>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</si>
  <si>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</si>
  <si>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</si>
  <si>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</si>
  <si>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</si>
  <si>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</si>
  <si>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</si>
  <si>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</si>
  <si>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</si>
  <si>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</si>
  <si>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</si>
  <si>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</si>
  <si>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</si>
  <si>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</si>
  <si>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</si>
  <si>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</si>
  <si>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</si>
  <si>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</si>
  <si>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</si>
  <si>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</si>
  <si>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</si>
  <si>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</si>
  <si>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</si>
  <si>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</si>
  <si>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</si>
  <si>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</si>
  <si>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</si>
  <si>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</si>
  <si>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</si>
  <si>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</si>
  <si>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</si>
  <si>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</si>
  <si>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</si>
  <si>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</si>
  <si>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</si>
  <si>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</si>
  <si>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</si>
  <si>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</si>
  <si>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</si>
  <si>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</si>
  <si>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</si>
  <si>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</si>
  <si>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</si>
  <si>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</si>
  <si>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</si>
  <si>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</si>
  <si>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</si>
  <si>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</si>
  <si>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</si>
  <si>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</si>
  <si>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</si>
  <si>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</si>
  <si>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</si>
  <si>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</si>
  <si>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</si>
  <si>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</si>
  <si>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</si>
  <si>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</si>
  <si>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</si>
  <si>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</si>
  <si>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</si>
  <si>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</si>
  <si>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</si>
  <si>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</si>
  <si>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</si>
  <si>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</si>
  <si>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</si>
  <si>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</si>
  <si>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</si>
  <si>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</si>
  <si>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</si>
  <si>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</si>
  <si>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</si>
  <si>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</si>
  <si>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</si>
  <si>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</si>
  <si>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</si>
  <si>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</si>
  <si>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</si>
  <si>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</si>
  <si>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</si>
  <si>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</si>
  <si>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</si>
  <si>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</si>
  <si>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</si>
  <si>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</si>
  <si>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</si>
  <si>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</si>
  <si>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</si>
  <si>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</si>
  <si>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</si>
  <si>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</si>
  <si>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</si>
  <si>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</si>
  <si>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</si>
  <si>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</si>
  <si>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</si>
  <si>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</si>
  <si>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</si>
  <si>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</si>
  <si>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</si>
  <si>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</si>
  <si>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</si>
  <si>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</si>
  <si>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</si>
  <si>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</si>
  <si>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</si>
  <si>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</si>
  <si>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</si>
  <si>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</si>
  <si>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</si>
  <si>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</si>
  <si>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</si>
  <si>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</si>
  <si>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</si>
  <si>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</si>
  <si>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</si>
  <si>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</si>
  <si>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</si>
  <si>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</si>
  <si>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</si>
  <si>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</si>
  <si>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</si>
  <si>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</si>
  <si>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</si>
  <si>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</si>
  <si>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</si>
  <si>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</si>
  <si>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</si>
  <si>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</si>
  <si>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</si>
  <si>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</si>
  <si>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</si>
  <si>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</si>
  <si>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</si>
  <si>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</si>
  <si>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</si>
  <si>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</si>
  <si>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</si>
  <si>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</si>
  <si>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</si>
  <si>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</si>
  <si>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</si>
  <si>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</si>
  <si>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</si>
  <si>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</si>
  <si>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</si>
  <si>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</si>
  <si>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</si>
  <si>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</si>
  <si>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</si>
  <si>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</si>
  <si>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</si>
  <si>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</si>
  <si>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</si>
  <si>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</si>
  <si>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</si>
  <si>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</si>
  <si>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</si>
  <si>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</si>
  <si>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</si>
  <si>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</si>
  <si>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</si>
  <si>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</si>
  <si>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</si>
  <si>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</si>
  <si>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</si>
  <si>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</si>
  <si>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</si>
  <si>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</si>
  <si>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</si>
  <si>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</si>
  <si>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</si>
  <si>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</si>
  <si>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</si>
  <si>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</si>
  <si>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</si>
  <si>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</si>
  <si>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</si>
  <si>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</si>
  <si>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</si>
  <si>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</si>
  <si>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</si>
  <si>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</si>
  <si>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</si>
  <si>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</si>
  <si>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</si>
  <si>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</si>
  <si>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</si>
  <si>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</si>
  <si>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</si>
  <si>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</si>
  <si>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</si>
  <si>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</si>
  <si>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</si>
  <si>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</si>
  <si>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</si>
  <si>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</si>
  <si>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</si>
  <si>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</si>
  <si>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</si>
  <si>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</si>
  <si>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</si>
  <si>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</si>
  <si>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</si>
  <si>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</si>
  <si>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</si>
  <si>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</si>
  <si>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</si>
  <si>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</si>
  <si>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</si>
  <si>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</si>
  <si>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</si>
  <si>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</si>
  <si>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</si>
  <si>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</si>
  <si>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</si>
  <si>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</si>
  <si>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</si>
  <si>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</si>
  <si>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</si>
  <si>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</si>
  <si>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</si>
  <si>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</si>
  <si>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</si>
  <si>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</si>
  <si>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</si>
  <si>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</si>
  <si>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</si>
  <si>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</si>
  <si>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</si>
  <si>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</si>
  <si>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</si>
  <si>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</si>
  <si>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</si>
  <si>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</si>
  <si>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</si>
  <si>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</si>
  <si>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</si>
  <si>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</si>
  <si>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</si>
  <si>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</si>
  <si>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</si>
  <si>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</si>
  <si>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</si>
  <si>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</si>
  <si>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</si>
  <si>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</si>
  <si>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</si>
  <si>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</si>
  <si>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</si>
  <si>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</si>
  <si>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</si>
  <si>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</si>
  <si>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</si>
  <si>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</si>
  <si>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</si>
  <si>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</si>
  <si>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</si>
  <si>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</si>
  <si>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</si>
  <si>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</si>
  <si>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</si>
  <si>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</si>
  <si>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</si>
  <si>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</si>
  <si>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</si>
  <si>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</si>
  <si>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</si>
  <si>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</si>
  <si>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</si>
  <si>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</si>
  <si>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</si>
  <si>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</si>
  <si>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</si>
  <si>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</si>
  <si>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</si>
  <si>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</si>
  <si>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</si>
  <si>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</si>
  <si>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</si>
  <si>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</si>
  <si>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</si>
  <si>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</si>
  <si>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</si>
  <si>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</si>
  <si>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</si>
  <si>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</si>
  <si>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</si>
  <si>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</si>
  <si>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</si>
  <si>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</si>
  <si>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</si>
  <si>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</si>
  <si>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</si>
  <si>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</si>
  <si>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</si>
  <si>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</si>
  <si>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</si>
  <si>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</si>
  <si>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</si>
  <si>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</si>
  <si>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</si>
  <si>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</si>
  <si>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</si>
  <si>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</si>
  <si>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</si>
  <si>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</si>
  <si>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</si>
  <si>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</si>
  <si>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</si>
  <si>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</si>
  <si>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</si>
  <si>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</si>
  <si>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</si>
  <si>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</si>
  <si>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</si>
  <si>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</si>
  <si>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</si>
  <si>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</si>
  <si>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</si>
  <si>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</si>
  <si>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</si>
  <si>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</si>
  <si>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</si>
  <si>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</si>
  <si>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</si>
  <si>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</si>
  <si>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</si>
  <si>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</si>
  <si>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</si>
  <si>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</si>
  <si>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</si>
  <si>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</si>
  <si>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</si>
  <si>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</si>
  <si>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</si>
  <si>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</si>
  <si>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</si>
  <si>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</si>
  <si>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</si>
  <si>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</si>
  <si>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</si>
  <si>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</si>
  <si>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</si>
  <si>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</si>
  <si>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</si>
  <si>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</si>
  <si>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</si>
  <si>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</si>
  <si>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</si>
  <si>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</si>
  <si>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</si>
  <si>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</si>
  <si>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</si>
  <si>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</si>
  <si>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</si>
  <si>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</si>
  <si>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</si>
  <si>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</si>
  <si>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</si>
  <si>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</si>
  <si>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</si>
  <si>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</si>
  <si>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</si>
  <si>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</si>
  <si>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</si>
  <si>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</si>
  <si>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</si>
  <si>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</si>
  <si>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</si>
  <si>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</si>
  <si>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</si>
  <si>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</si>
  <si>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</si>
  <si>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</si>
  <si>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</si>
  <si>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</si>
  <si>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</si>
  <si>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</si>
  <si>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</si>
  <si>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</si>
  <si>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</si>
  <si>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</si>
  <si>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</si>
  <si>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</si>
  <si>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</si>
  <si>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</si>
  <si>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</si>
  <si>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</si>
  <si>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</si>
  <si>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</si>
  <si>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</si>
  <si>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</si>
  <si>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</si>
  <si>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</si>
  <si>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</si>
  <si>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</si>
  <si>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</si>
  <si>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</si>
  <si>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</si>
  <si>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</si>
  <si>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</si>
  <si>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</si>
  <si>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</si>
  <si>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</si>
  <si>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</si>
  <si>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</si>
  <si>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</si>
  <si>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</si>
  <si>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</si>
  <si>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</si>
  <si>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</si>
  <si>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</si>
  <si>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</si>
  <si>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</si>
  <si>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</si>
  <si>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</si>
  <si>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</si>
  <si>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</si>
  <si>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</si>
  <si>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</si>
  <si>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</si>
  <si>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</si>
  <si>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</si>
  <si>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</si>
  <si>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</si>
  <si>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</si>
  <si>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</si>
  <si>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</si>
  <si>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</si>
  <si>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</si>
  <si>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</si>
  <si>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</si>
  <si>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</si>
  <si>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</si>
  <si>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</si>
  <si>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</si>
  <si>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</si>
  <si>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</si>
  <si>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</si>
  <si>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</si>
  <si>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</si>
  <si>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</si>
  <si>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</si>
  <si>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</si>
  <si>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</si>
  <si>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</si>
  <si>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</si>
  <si>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</si>
  <si>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</si>
  <si>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</si>
  <si>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</si>
  <si>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</si>
  <si>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</si>
  <si>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</si>
  <si>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</si>
  <si>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</si>
  <si>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</si>
  <si>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</si>
  <si>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</si>
  <si>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</si>
  <si>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</si>
  <si>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</si>
  <si>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</si>
  <si>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</si>
  <si>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</si>
  <si>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</si>
  <si>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</si>
  <si>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</si>
  <si>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</si>
  <si>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</si>
  <si>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</si>
  <si>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</si>
  <si>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</si>
  <si>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</si>
  <si>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</si>
  <si>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</si>
  <si>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</si>
  <si>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</si>
  <si>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</si>
  <si>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</si>
  <si>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</si>
  <si>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</si>
  <si>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</si>
  <si>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</si>
  <si>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</si>
  <si>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</si>
  <si>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</si>
  <si>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</si>
  <si>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</si>
  <si>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</si>
  <si>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</si>
  <si>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</si>
  <si>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</si>
  <si>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</si>
  <si>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</si>
  <si>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</si>
  <si>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</si>
  <si>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</si>
  <si>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</si>
  <si>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</si>
  <si>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</si>
  <si>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</si>
  <si>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</si>
  <si>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</si>
  <si>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</si>
  <si>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</si>
  <si>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</si>
  <si>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</si>
  <si>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</si>
  <si>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</si>
  <si>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</si>
  <si>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</si>
  <si>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</si>
  <si>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</si>
  <si>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</si>
  <si>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</si>
  <si>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</si>
  <si>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</si>
  <si>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</si>
  <si>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</si>
  <si>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</si>
  <si>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</si>
  <si>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</si>
  <si>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</si>
  <si>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</si>
  <si>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</si>
  <si>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</si>
  <si>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</si>
  <si>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</si>
  <si>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</si>
  <si>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</si>
  <si>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</si>
  <si>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</si>
  <si>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</si>
  <si>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</si>
  <si>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</si>
  <si>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</si>
  <si>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</si>
  <si>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</si>
  <si>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</si>
  <si>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</si>
  <si>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</si>
  <si>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</si>
  <si>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</si>
  <si>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</si>
  <si>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</si>
  <si>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</si>
  <si>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</si>
  <si>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</si>
  <si>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</si>
  <si>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</si>
  <si>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</si>
  <si>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</si>
  <si>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</si>
  <si>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</si>
  <si>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</si>
  <si>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</si>
  <si>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</si>
  <si>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</si>
  <si>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</si>
  <si>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</si>
  <si>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</si>
  <si>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</si>
  <si>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</si>
  <si>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</si>
  <si>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</si>
  <si>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</si>
  <si>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</si>
  <si>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</si>
  <si>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</si>
  <si>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</si>
  <si>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</si>
  <si>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</si>
  <si>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</si>
  <si>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</si>
  <si>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</si>
  <si>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</si>
  <si>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</si>
  <si>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</si>
  <si>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</si>
  <si>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</si>
  <si>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</si>
  <si>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</si>
  <si>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</si>
  <si>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</si>
  <si>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</si>
  <si>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</si>
  <si>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</si>
  <si>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</si>
  <si>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</si>
  <si>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</si>
  <si>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</si>
  <si>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</si>
  <si>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</si>
  <si>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</si>
  <si>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</si>
  <si>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</si>
  <si>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</si>
  <si>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</si>
  <si>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</si>
  <si>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</si>
  <si>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</si>
  <si>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</si>
  <si>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</si>
  <si>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</si>
  <si>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</si>
  <si>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</si>
  <si>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</si>
  <si>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</si>
  <si>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</si>
  <si>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</si>
  <si>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</si>
  <si>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</si>
  <si>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</si>
  <si>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</si>
  <si>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</si>
  <si>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</si>
  <si>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</si>
  <si>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</si>
  <si>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</si>
  <si>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</si>
  <si>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</si>
  <si>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</si>
  <si>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</si>
  <si>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</si>
  <si>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</si>
  <si>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</si>
  <si>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</si>
  <si>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</si>
  <si>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</si>
  <si>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</si>
  <si>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</si>
  <si>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</si>
  <si>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</si>
  <si>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</si>
  <si>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</si>
  <si>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</si>
  <si>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</si>
  <si>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</si>
  <si>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</si>
  <si>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</si>
  <si>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</si>
  <si>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</si>
  <si>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</si>
  <si>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</si>
  <si>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</si>
  <si>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</si>
  <si>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</si>
  <si>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</si>
  <si>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</si>
  <si>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</si>
  <si>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</si>
  <si>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</si>
  <si>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</si>
  <si>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</si>
  <si>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</si>
  <si>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</si>
  <si>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</si>
  <si>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</si>
  <si>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</si>
  <si>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</si>
  <si>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</si>
  <si>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</si>
  <si>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</si>
  <si>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</si>
  <si>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</si>
  <si>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</si>
  <si>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</si>
  <si>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</si>
  <si>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</si>
  <si>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</si>
  <si>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</si>
  <si>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</si>
  <si>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</si>
  <si>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</si>
  <si>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</si>
  <si>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</si>
  <si>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</si>
  <si>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</si>
  <si>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</si>
  <si>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</si>
  <si>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</si>
  <si>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</si>
  <si>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</si>
  <si>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</si>
  <si>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</si>
  <si>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</si>
  <si>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</si>
  <si>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</si>
  <si>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</si>
  <si>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</si>
  <si>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</si>
  <si>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</si>
  <si>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</si>
  <si>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</si>
  <si>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</si>
  <si>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</si>
  <si>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</si>
  <si>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</si>
  <si>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</si>
  <si>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</si>
  <si>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</si>
  <si>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</si>
  <si>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</si>
  <si>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</si>
  <si>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</si>
  <si>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</si>
  <si>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</si>
  <si>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</si>
  <si>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</si>
  <si>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</si>
  <si>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</si>
  <si>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</si>
  <si>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</si>
  <si>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</si>
  <si>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</si>
  <si>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</si>
  <si>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</si>
  <si>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</si>
  <si>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</si>
  <si>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</si>
  <si>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</si>
  <si>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</si>
  <si>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</si>
  <si>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</si>
  <si>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</si>
  <si>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</si>
  <si>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</si>
  <si>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</si>
  <si>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</si>
  <si>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</si>
  <si>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</si>
  <si>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</si>
  <si>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</si>
  <si>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</si>
  <si>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</si>
  <si>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</si>
  <si>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</si>
  <si>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</si>
  <si>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</si>
  <si>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</si>
  <si>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</si>
  <si>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</si>
  <si>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</si>
  <si>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</si>
  <si>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</si>
  <si>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</si>
  <si>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</si>
  <si>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</si>
  <si>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</si>
  <si>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</si>
  <si>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</si>
  <si>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</si>
  <si>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</si>
  <si>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</si>
  <si>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</si>
  <si>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</si>
  <si>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</si>
  <si>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</si>
  <si>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</si>
  <si>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</si>
  <si>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</si>
  <si>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</si>
  <si>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</si>
  <si>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</si>
  <si>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</si>
  <si>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</si>
  <si>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</si>
  <si>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</si>
  <si>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</si>
  <si>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</si>
  <si>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</si>
  <si>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</si>
  <si>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</si>
  <si>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</si>
  <si>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</si>
  <si>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</si>
  <si>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</si>
  <si>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</si>
  <si>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</si>
  <si>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</si>
  <si>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</si>
  <si>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</si>
  <si>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</si>
  <si>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</si>
  <si>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</si>
  <si>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</si>
  <si>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</si>
  <si>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</si>
  <si>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</si>
  <si>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</si>
  <si>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</si>
  <si>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</si>
  <si>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</si>
  <si>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</si>
  <si>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</si>
  <si>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</si>
  <si>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</si>
  <si>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</si>
  <si>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</si>
  <si>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</si>
  <si>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</si>
  <si>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</si>
  <si>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</si>
  <si>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</si>
  <si>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</si>
  <si>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</si>
  <si>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</si>
  <si>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</si>
  <si>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</si>
  <si>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</si>
  <si>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</si>
  <si>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</si>
  <si>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</si>
  <si>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</si>
  <si>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</si>
  <si>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</si>
  <si>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</si>
  <si>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</si>
  <si>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</si>
  <si>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</si>
  <si>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</si>
  <si>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</si>
  <si>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</si>
  <si>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</si>
  <si>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</si>
  <si>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</si>
  <si>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</si>
  <si>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</si>
  <si>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</si>
  <si>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</si>
  <si>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</si>
  <si>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</si>
  <si>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</si>
  <si>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</si>
  <si>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</si>
  <si>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</si>
  <si>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</si>
  <si>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</si>
  <si>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</si>
  <si>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</si>
  <si>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</si>
  <si>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</si>
  <si>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</si>
  <si>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</si>
  <si>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</si>
  <si>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</si>
  <si>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</si>
  <si>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</si>
  <si>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</si>
  <si>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</si>
  <si>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</si>
  <si>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</si>
  <si>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</si>
  <si>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</si>
  <si>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</si>
  <si>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</si>
  <si>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</si>
  <si>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</si>
  <si>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</si>
  <si>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</si>
  <si>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</si>
  <si>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</si>
  <si>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</si>
  <si>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</si>
  <si>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</si>
  <si>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</si>
  <si>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</si>
  <si>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</si>
  <si>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</si>
  <si>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</si>
  <si>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</si>
  <si>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</si>
  <si>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</si>
  <si>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</si>
  <si>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</si>
  <si>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</si>
  <si>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</si>
  <si>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</si>
  <si>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</si>
  <si>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</si>
  <si>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</si>
  <si>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</si>
  <si>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</si>
  <si>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</si>
  <si>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</si>
  <si>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</si>
  <si>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</si>
  <si>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</si>
  <si>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</si>
  <si>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</si>
  <si>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</si>
  <si>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</si>
  <si>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</si>
  <si>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</si>
  <si>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</si>
  <si>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</si>
  <si>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</si>
  <si>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</si>
  <si>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</si>
  <si>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</si>
  <si>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</si>
  <si>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</si>
  <si>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</si>
  <si>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</si>
  <si>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</si>
  <si>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</si>
  <si>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</si>
  <si>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</si>
  <si>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</si>
  <si>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</si>
  <si>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</si>
  <si>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</si>
  <si>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</si>
  <si>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</si>
  <si>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</si>
  <si>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</si>
  <si>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</si>
  <si>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</si>
  <si>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</si>
  <si>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</si>
  <si>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</si>
  <si>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</si>
  <si>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</si>
  <si>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</si>
  <si>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</si>
  <si>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</si>
  <si>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</si>
  <si>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</si>
  <si>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</si>
  <si>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</si>
  <si>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</si>
  <si>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</si>
  <si>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</si>
  <si>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</si>
  <si>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</si>
  <si>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</si>
  <si>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</si>
  <si>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</si>
  <si>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</si>
  <si>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</si>
  <si>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</si>
  <si>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</si>
  <si>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</si>
  <si>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</si>
  <si>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</si>
  <si>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</si>
  <si>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</si>
  <si>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</si>
  <si>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</si>
  <si>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</si>
  <si>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</si>
  <si>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</si>
  <si>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</si>
  <si>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</si>
  <si>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</si>
  <si>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</si>
  <si>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</si>
  <si>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</si>
  <si>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</si>
  <si>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</si>
  <si>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</si>
  <si>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</si>
  <si>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</si>
  <si>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</si>
  <si>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</si>
  <si>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</si>
  <si>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</si>
  <si>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</si>
  <si>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</si>
  <si>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</si>
  <si>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</si>
  <si>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</si>
  <si>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</si>
  <si>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</si>
  <si>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</si>
  <si>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</si>
  <si>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</si>
  <si>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</si>
  <si>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</si>
  <si>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</si>
  <si>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</si>
  <si>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</si>
  <si>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</si>
  <si>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</si>
  <si>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</si>
  <si>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</si>
  <si>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</si>
  <si>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</si>
  <si>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</si>
  <si>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</si>
  <si>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</si>
  <si>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</si>
  <si>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</si>
  <si>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</si>
  <si>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</si>
  <si>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</si>
  <si>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</si>
  <si>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</si>
  <si>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</si>
  <si>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</si>
  <si>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</si>
  <si>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</si>
  <si>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</si>
  <si>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</si>
  <si>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</si>
  <si>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</si>
  <si>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</si>
  <si>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</si>
  <si>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</si>
  <si>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</si>
  <si>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</si>
  <si>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</si>
  <si>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</si>
  <si>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</si>
  <si>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</si>
  <si>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</si>
  <si>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</si>
  <si>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</si>
  <si>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</si>
  <si>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</si>
  <si>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</si>
  <si>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</si>
  <si>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</si>
  <si>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</si>
  <si>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</si>
  <si>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</si>
  <si>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</si>
  <si>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</si>
  <si>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</si>
  <si>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</si>
  <si>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</si>
  <si>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</si>
  <si>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</si>
  <si>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</si>
  <si>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</si>
  <si>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</si>
  <si>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</si>
  <si>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</si>
  <si>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</si>
  <si>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</si>
  <si>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</si>
  <si>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</si>
  <si>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</si>
  <si>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</si>
  <si>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</si>
  <si>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</si>
  <si>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</si>
  <si>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</si>
  <si>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</si>
  <si>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</si>
  <si>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</si>
  <si>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</si>
  <si>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</si>
  <si>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</si>
  <si>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</si>
  <si>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</si>
  <si>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</si>
  <si>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</si>
  <si>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</si>
  <si>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</si>
  <si>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</si>
  <si>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</si>
  <si>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</si>
  <si>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</si>
  <si>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</si>
  <si>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</si>
  <si>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</si>
  <si>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</si>
  <si>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</si>
  <si>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</si>
  <si>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</si>
  <si>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</si>
  <si>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</si>
  <si>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</si>
  <si>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</si>
  <si>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</si>
  <si>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</si>
  <si>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</si>
  <si>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</si>
  <si>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</si>
  <si>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</si>
  <si>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</si>
  <si>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</si>
  <si>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</si>
  <si>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</si>
  <si>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</si>
  <si>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</si>
  <si>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</si>
  <si>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</si>
  <si>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</si>
  <si>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</si>
  <si>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</si>
  <si>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</si>
  <si>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</si>
  <si>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</si>
  <si>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</si>
  <si>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</si>
  <si>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</si>
  <si>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</si>
  <si>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</si>
  <si>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</si>
  <si>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</si>
  <si>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</si>
  <si>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</si>
  <si>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</si>
  <si>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</si>
  <si>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</si>
  <si>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</si>
  <si>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</si>
  <si>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</si>
  <si>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</si>
  <si>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</si>
  <si>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</si>
  <si>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</si>
  <si>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</si>
  <si>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</si>
  <si>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</si>
  <si>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</si>
  <si>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</si>
  <si>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</si>
  <si>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</si>
  <si>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</si>
  <si>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</si>
  <si>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</si>
  <si>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</si>
  <si>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</si>
  <si>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</si>
  <si>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</si>
  <si>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</si>
  <si>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</si>
  <si>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</si>
  <si>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</si>
  <si>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</si>
  <si>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</si>
  <si>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</si>
  <si>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</si>
  <si>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</si>
  <si>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</si>
  <si>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</si>
  <si>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</si>
  <si>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</si>
  <si>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</si>
  <si>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</si>
  <si>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</si>
  <si>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</si>
  <si>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</si>
  <si>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</si>
  <si>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</si>
  <si>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</si>
  <si>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</si>
  <si>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</si>
  <si>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</si>
  <si>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</si>
  <si>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</si>
  <si>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</si>
  <si>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</si>
  <si>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</si>
  <si>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</si>
  <si>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</si>
  <si>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</si>
  <si>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</si>
  <si>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</si>
  <si>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</si>
  <si>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</si>
  <si>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</si>
  <si>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</si>
  <si>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</si>
  <si>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</si>
  <si>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</si>
  <si>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</si>
  <si>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</si>
  <si>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</si>
  <si>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</si>
  <si>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</si>
  <si>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</si>
  <si>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</si>
  <si>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</si>
  <si>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</si>
  <si>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</si>
  <si>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</si>
  <si>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</si>
  <si>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</si>
  <si>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</si>
  <si>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</si>
  <si>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</si>
  <si>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</si>
  <si>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</si>
  <si>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</si>
  <si>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</si>
  <si>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</si>
  <si>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</si>
  <si>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</si>
  <si>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</si>
  <si>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</si>
  <si>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</si>
  <si>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</si>
  <si>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</si>
  <si>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</si>
  <si>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</si>
  <si>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</si>
  <si>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</si>
  <si>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</si>
  <si>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</si>
  <si>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</si>
  <si>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</si>
  <si>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</si>
  <si>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</si>
  <si>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</si>
  <si>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</si>
  <si>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</si>
  <si>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</si>
  <si>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</si>
  <si>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</si>
  <si>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</si>
  <si>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</si>
  <si>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</si>
  <si>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</si>
  <si>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</si>
  <si>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</si>
  <si>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</si>
  <si>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</si>
  <si>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</si>
  <si>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</si>
  <si>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</si>
  <si>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</si>
  <si>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</si>
  <si>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</si>
  <si>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</si>
  <si>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</si>
  <si>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</si>
  <si>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</si>
  <si>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</si>
  <si>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</si>
  <si>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</si>
  <si>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</si>
  <si>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</si>
  <si>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</si>
  <si>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</si>
  <si>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</si>
  <si>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</si>
  <si>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</si>
  <si>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</si>
  <si>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</si>
  <si>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</si>
  <si>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</si>
  <si>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</si>
  <si>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</si>
  <si>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</si>
  <si>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</si>
  <si>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</si>
  <si>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</si>
  <si>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</si>
  <si>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</si>
  <si>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</si>
  <si>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</si>
  <si>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</si>
  <si>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</si>
  <si>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</si>
  <si>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</si>
  <si>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</si>
  <si>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</si>
  <si>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</si>
  <si>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</si>
  <si>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</si>
  <si>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</si>
  <si>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</si>
  <si>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</si>
  <si>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</si>
  <si>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</si>
  <si>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</si>
  <si>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</si>
  <si>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</si>
  <si>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</si>
  <si>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</si>
  <si>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</si>
  <si>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</si>
  <si>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</si>
  <si>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</si>
  <si>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</si>
  <si>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</si>
  <si>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</si>
  <si>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</si>
  <si>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</si>
  <si>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</si>
  <si>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</si>
  <si>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</si>
  <si>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</si>
  <si>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</si>
  <si>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</si>
  <si>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</si>
  <si>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</si>
  <si>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</si>
  <si>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</si>
  <si>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</si>
  <si>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</si>
  <si>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</si>
  <si>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</si>
  <si>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</si>
  <si>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</si>
  <si>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</si>
  <si>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</si>
  <si>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</si>
  <si>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</si>
  <si>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</si>
  <si>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</si>
  <si>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</si>
  <si>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</si>
  <si>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</si>
  <si>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</si>
  <si>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</si>
  <si>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</si>
  <si>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</si>
  <si>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</si>
  <si>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</si>
  <si>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</si>
  <si>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</si>
  <si>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</si>
  <si>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</si>
  <si>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</si>
  <si>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</si>
  <si>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</si>
  <si>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</si>
  <si>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</si>
  <si>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</si>
  <si>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</si>
  <si>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</si>
  <si>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</si>
  <si>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</si>
  <si>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</si>
  <si>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</si>
  <si>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</si>
  <si>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</si>
  <si>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</si>
  <si>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</si>
  <si>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</si>
  <si>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</si>
  <si>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</si>
  <si>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</si>
  <si>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</si>
  <si>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</si>
  <si>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</si>
  <si>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</si>
  <si>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</si>
  <si>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</si>
  <si>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</si>
  <si>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</si>
  <si>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</si>
  <si>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</si>
  <si>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</si>
  <si>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</si>
  <si>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</si>
  <si>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</si>
  <si>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</si>
  <si>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</si>
  <si>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</si>
  <si>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</si>
  <si>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</si>
  <si>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</si>
  <si>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</si>
  <si>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</si>
  <si>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</si>
  <si>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</si>
  <si>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</si>
  <si>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</si>
  <si>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</si>
  <si>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</si>
  <si>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</si>
  <si>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</si>
  <si>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</si>
  <si>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</si>
  <si>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</si>
  <si>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</si>
  <si>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</si>
  <si>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</si>
  <si>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</si>
  <si>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</si>
  <si>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</si>
  <si>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</si>
  <si>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</si>
  <si>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</si>
  <si>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</si>
  <si>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</si>
  <si>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</si>
  <si>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</si>
  <si>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</si>
  <si>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</si>
  <si>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</si>
  <si>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</si>
  <si>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</si>
  <si>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</si>
  <si>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</si>
  <si>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</si>
  <si>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</si>
  <si>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</si>
  <si>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</si>
  <si>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</si>
  <si>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</si>
  <si>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</si>
  <si>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</si>
  <si>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</si>
  <si>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</si>
  <si>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</si>
  <si>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</si>
  <si>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</si>
  <si>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</si>
  <si>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</si>
  <si>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</si>
  <si>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</si>
  <si>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</si>
  <si>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</si>
  <si>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</si>
  <si>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</si>
  <si>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</si>
  <si>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</si>
  <si>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</si>
  <si>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</si>
  <si>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</si>
  <si>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</si>
  <si>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</si>
  <si>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</si>
  <si>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</si>
  <si>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</si>
  <si>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</si>
  <si>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</si>
  <si>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</si>
  <si>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</si>
  <si>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</si>
  <si>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</si>
  <si>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</si>
  <si>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</si>
  <si>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</si>
  <si>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</si>
  <si>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</si>
  <si>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</si>
  <si>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</si>
  <si>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</si>
  <si>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</si>
  <si>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</si>
  <si>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</si>
  <si>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</si>
  <si>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</si>
  <si>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</si>
  <si>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</si>
  <si>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</si>
  <si>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</si>
  <si>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</si>
  <si>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</si>
  <si>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</si>
  <si>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</si>
  <si>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</si>
  <si>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</si>
  <si>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</si>
  <si>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</si>
  <si>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</si>
  <si>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</si>
  <si>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</si>
  <si>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</si>
  <si>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</si>
  <si>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</si>
  <si>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</si>
  <si>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</si>
  <si>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</si>
  <si>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</si>
  <si>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</si>
  <si>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</si>
  <si>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</si>
  <si>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</si>
  <si>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</si>
  <si>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</si>
  <si>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</si>
  <si>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</si>
  <si>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</si>
  <si>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</si>
  <si>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</si>
  <si>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</si>
  <si>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</si>
  <si>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</si>
  <si>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</si>
  <si>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</si>
  <si>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</si>
  <si>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</si>
  <si>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</si>
  <si>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</si>
  <si>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</si>
  <si>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</si>
  <si>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</si>
  <si>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</si>
  <si>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</si>
  <si>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</si>
  <si>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</si>
  <si>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</si>
  <si>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</si>
  <si>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</si>
  <si>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</si>
  <si>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</si>
  <si>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</si>
  <si>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</si>
  <si>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</si>
  <si>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</si>
  <si>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</si>
  <si>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</si>
  <si>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</si>
  <si>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</si>
  <si>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</si>
  <si>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</si>
  <si>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</si>
  <si>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</si>
  <si>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</si>
  <si>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</si>
  <si>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</si>
  <si>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</si>
  <si>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</si>
  <si>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</si>
  <si>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</si>
  <si>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</si>
  <si>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</si>
  <si>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</si>
  <si>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</si>
  <si>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</si>
  <si>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</si>
  <si>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</si>
  <si>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</si>
  <si>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</si>
  <si>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</si>
  <si>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</si>
  <si>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</si>
  <si>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</si>
  <si>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</si>
  <si>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</si>
  <si>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</si>
  <si>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</si>
  <si>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</si>
  <si>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</si>
  <si>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</si>
  <si>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</si>
  <si>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</si>
  <si>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</si>
  <si>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</si>
  <si>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</si>
  <si>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</si>
  <si>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</si>
  <si>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</si>
  <si>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</si>
  <si>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</si>
  <si>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</si>
  <si>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</si>
  <si>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</si>
  <si>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</si>
  <si>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</si>
  <si>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</si>
  <si>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</si>
  <si>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</si>
  <si>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</si>
  <si>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</si>
  <si>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</si>
  <si>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</si>
  <si>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</si>
  <si>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</si>
  <si>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</si>
  <si>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</si>
  <si>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</si>
  <si>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</si>
  <si>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</si>
  <si>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</si>
  <si>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</si>
  <si>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</si>
  <si>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</si>
  <si>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</si>
  <si>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</si>
  <si>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</si>
  <si>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</si>
  <si>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</si>
  <si>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</si>
  <si>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</si>
  <si>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</si>
  <si>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</si>
  <si>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</si>
  <si>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</si>
  <si>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</si>
  <si>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</si>
  <si>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</si>
  <si>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</si>
  <si>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</si>
  <si>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</si>
  <si>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</si>
  <si>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</si>
  <si>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</si>
  <si>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</si>
  <si>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</si>
  <si>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</si>
  <si>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</si>
  <si>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</si>
  <si>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</si>
  <si>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</si>
  <si>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</si>
  <si>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</si>
  <si>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</si>
  <si>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</si>
  <si>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</si>
  <si>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</si>
  <si>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</si>
  <si>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</si>
  <si>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</si>
  <si>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</si>
  <si>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</si>
  <si>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</si>
  <si>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</si>
  <si>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</si>
  <si>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</si>
  <si>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</si>
  <si>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</si>
  <si>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</si>
  <si>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</si>
  <si>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</si>
  <si>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</si>
  <si>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</si>
  <si>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</si>
  <si>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</si>
  <si>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</si>
  <si>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</si>
  <si>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</si>
  <si>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</si>
  <si>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</si>
  <si>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</si>
  <si>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</si>
  <si>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</si>
  <si>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</si>
  <si>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</si>
  <si>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</si>
  <si>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</si>
  <si>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</si>
  <si>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</si>
  <si>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</si>
  <si>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</si>
  <si>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</si>
  <si>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</si>
  <si>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</si>
  <si>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</si>
  <si>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</si>
  <si>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</si>
  <si>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</si>
  <si>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</si>
  <si>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</si>
  <si>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</si>
  <si>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</si>
  <si>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</si>
  <si>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</si>
  <si>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</si>
  <si>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</si>
  <si>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</si>
  <si>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</si>
  <si>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</si>
  <si>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</si>
  <si>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</si>
  <si>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</si>
  <si>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</si>
  <si>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</si>
  <si>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</si>
  <si>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</si>
  <si>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</si>
  <si>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</si>
  <si>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</si>
  <si>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</si>
  <si>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</si>
  <si>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</si>
  <si>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</si>
  <si>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</si>
  <si>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</si>
  <si>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</si>
  <si>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</si>
  <si>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</si>
  <si>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</si>
  <si>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</si>
  <si>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</si>
  <si>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</si>
  <si>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</si>
  <si>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</si>
  <si>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</si>
  <si>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</si>
  <si>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</si>
  <si>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</si>
  <si>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</si>
  <si>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</si>
  <si>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</si>
  <si>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</si>
  <si>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</si>
  <si>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</si>
  <si>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</si>
  <si>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</si>
  <si>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</si>
  <si>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</si>
  <si>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</si>
  <si>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</si>
  <si>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</si>
  <si>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</si>
  <si>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</si>
  <si>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</si>
  <si>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</si>
  <si>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</si>
  <si>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</si>
  <si>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</si>
  <si>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</si>
  <si>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</si>
  <si>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</si>
  <si>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</si>
  <si>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</si>
  <si>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</si>
  <si>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</si>
  <si>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</si>
  <si>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</si>
  <si>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</si>
  <si>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</si>
  <si>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</si>
  <si>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</si>
  <si>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</si>
  <si>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</si>
  <si>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</si>
  <si>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</si>
  <si>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</si>
  <si>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</si>
  <si>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</si>
  <si>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</si>
  <si>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</si>
  <si>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</si>
  <si>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</si>
  <si>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</si>
  <si>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</si>
  <si>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</si>
  <si>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</si>
  <si>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</si>
  <si>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</si>
  <si>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</si>
  <si>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</si>
  <si>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</si>
  <si>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</si>
  <si>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</si>
  <si>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</si>
  <si>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</si>
  <si>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</si>
  <si>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</si>
  <si>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</si>
  <si>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</si>
  <si>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</si>
  <si>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</si>
  <si>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</si>
  <si>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</si>
  <si>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</si>
  <si>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</si>
  <si>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</si>
  <si>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</si>
  <si>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</si>
  <si>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</si>
  <si>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</si>
  <si>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</si>
  <si>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</si>
  <si>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</si>
  <si>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</si>
  <si>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</si>
  <si>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</si>
  <si>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</si>
  <si>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</si>
  <si>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</si>
  <si>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</si>
  <si>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</si>
  <si>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</si>
  <si>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</si>
  <si>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</si>
  <si>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</si>
  <si>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</si>
  <si>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</si>
  <si>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</si>
  <si>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</si>
  <si>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</si>
  <si>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</si>
  <si>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</si>
  <si>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</si>
  <si>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</si>
  <si>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</si>
  <si>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</si>
  <si>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</si>
  <si>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</si>
  <si>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</si>
  <si>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</si>
  <si>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</si>
  <si>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</si>
  <si>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</si>
  <si>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</si>
  <si>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</si>
  <si>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</si>
  <si>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</si>
  <si>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</si>
  <si>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</si>
  <si>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</si>
  <si>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</si>
  <si>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</si>
  <si>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</si>
  <si>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</si>
  <si>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</si>
  <si>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</si>
  <si>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</si>
  <si>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</si>
  <si>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</si>
  <si>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</si>
  <si>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</si>
  <si>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</si>
  <si>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</si>
  <si>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</si>
  <si>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</si>
  <si>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</si>
  <si>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</si>
  <si>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</si>
  <si>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</si>
  <si>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</si>
  <si>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</si>
  <si>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</si>
  <si>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</si>
  <si>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</si>
  <si>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</si>
  <si>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</si>
  <si>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</si>
  <si>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</si>
  <si>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</si>
  <si>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</si>
  <si>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</si>
  <si>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</si>
  <si>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</si>
  <si>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</si>
  <si>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</si>
  <si>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</si>
  <si>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</si>
  <si>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</si>
  <si>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</si>
  <si>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</si>
  <si>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</si>
  <si>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</si>
  <si>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</si>
  <si>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</si>
  <si>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</si>
  <si>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</si>
  <si>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</si>
  <si>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</si>
  <si>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</si>
  <si>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</si>
  <si>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</si>
  <si>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</si>
  <si>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</si>
  <si>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</si>
  <si>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</si>
  <si>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</si>
  <si>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</si>
  <si>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</si>
  <si>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</si>
  <si>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</si>
  <si>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</si>
  <si>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</si>
  <si>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</si>
  <si>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</si>
  <si>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</si>
  <si>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</si>
  <si>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</si>
  <si>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</si>
  <si>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</si>
  <si>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</si>
  <si>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</si>
  <si>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</si>
  <si>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</si>
  <si>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</si>
  <si>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</si>
  <si>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</si>
  <si>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</si>
  <si>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</si>
  <si>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</si>
  <si>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</si>
  <si>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</si>
  <si>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</si>
  <si>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</si>
  <si>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</si>
  <si>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</si>
  <si>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</si>
  <si>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</si>
  <si>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</si>
  <si>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</si>
  <si>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</si>
  <si>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</si>
  <si>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</si>
  <si>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</si>
  <si>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</si>
  <si>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</si>
  <si>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</si>
  <si>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</si>
  <si>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</si>
  <si>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</si>
  <si>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</si>
  <si>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</si>
  <si>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</si>
  <si>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</si>
  <si>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</si>
  <si>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</si>
  <si>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</si>
  <si>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</si>
  <si>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</si>
  <si>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</si>
  <si>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</si>
  <si>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</si>
  <si>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</si>
  <si>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</si>
  <si>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</si>
  <si>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</si>
  <si>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</si>
  <si>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</si>
  <si>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</si>
  <si>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</si>
  <si>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</si>
  <si>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</si>
  <si>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</si>
  <si>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</si>
  <si>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</si>
  <si>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</si>
  <si>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</si>
  <si>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</si>
  <si>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</si>
  <si>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</si>
  <si>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</si>
  <si>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</si>
  <si>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</si>
  <si>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</si>
  <si>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</si>
  <si>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</si>
  <si>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</si>
  <si>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</si>
  <si>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</si>
  <si>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</si>
  <si>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</si>
  <si>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</si>
  <si>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</si>
  <si>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</si>
  <si>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</si>
  <si>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</si>
  <si>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</si>
  <si>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</si>
  <si>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</si>
  <si>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</si>
  <si>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</si>
  <si>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</si>
  <si>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</si>
  <si>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</si>
  <si>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</si>
  <si>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</si>
  <si>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</si>
  <si>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</si>
  <si>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</si>
  <si>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</si>
  <si>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</si>
  <si>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</si>
  <si>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</si>
  <si>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</si>
  <si>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</si>
  <si>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</si>
  <si>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</si>
  <si>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</si>
  <si>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</si>
  <si>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</si>
  <si>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</si>
  <si>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</si>
  <si>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</si>
  <si>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</si>
  <si>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</si>
  <si>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</si>
  <si>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</si>
  <si>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</si>
  <si>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</si>
  <si>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</si>
  <si>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</si>
  <si>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</si>
  <si>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</si>
  <si>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</si>
  <si>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</si>
  <si>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</si>
  <si>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</si>
  <si>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</si>
  <si>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</si>
  <si>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</si>
  <si>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</si>
  <si>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</si>
  <si>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</si>
  <si>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</si>
  <si>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</si>
  <si>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</si>
  <si>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</si>
  <si>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</si>
  <si>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</si>
  <si>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</si>
  <si>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</si>
  <si>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</si>
  <si>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</si>
  <si>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</si>
  <si>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</si>
  <si>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</si>
  <si>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</si>
  <si>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</si>
  <si>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</si>
  <si>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</si>
  <si>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</si>
  <si>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</si>
  <si>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</si>
  <si>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</si>
  <si>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</si>
  <si>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</si>
  <si>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</si>
  <si>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</si>
  <si>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</si>
  <si>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</si>
  <si>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</si>
  <si>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</si>
  <si>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</si>
  <si>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</si>
  <si>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</si>
  <si>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</si>
  <si>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</si>
  <si>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</si>
  <si>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</si>
  <si>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</si>
  <si>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</si>
  <si>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</si>
  <si>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</si>
  <si>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</si>
  <si>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</si>
  <si>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</si>
  <si>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</si>
  <si>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</si>
  <si>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</si>
  <si>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</si>
  <si>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</si>
  <si>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</si>
  <si>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</si>
  <si>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</si>
  <si>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</si>
  <si>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</si>
  <si>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</si>
  <si>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</si>
  <si>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</si>
  <si>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</si>
  <si>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</si>
  <si>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</si>
  <si>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</si>
  <si>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</si>
  <si>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</si>
  <si>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</si>
  <si>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</si>
  <si>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</si>
  <si>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</si>
  <si>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</si>
  <si>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</si>
  <si>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</si>
  <si>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</si>
  <si>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</si>
  <si>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</si>
  <si>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</si>
  <si>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</si>
  <si>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</si>
  <si>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</si>
  <si>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</si>
  <si>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</si>
  <si>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</si>
  <si>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</si>
  <si>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</si>
  <si>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</si>
  <si>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</si>
  <si>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</si>
  <si>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</si>
  <si>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</si>
  <si>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</si>
  <si>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</si>
  <si>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</si>
  <si>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</si>
  <si>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</si>
  <si>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</si>
  <si>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</si>
  <si>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</si>
  <si>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</si>
  <si>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</si>
  <si>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</si>
  <si>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</si>
  <si>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</si>
  <si>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</si>
  <si>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</si>
  <si>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</si>
  <si>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</si>
  <si>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</si>
  <si>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</si>
  <si>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</si>
  <si>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</si>
  <si>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</si>
  <si>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</si>
  <si>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</si>
  <si>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</si>
  <si>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</si>
  <si>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</si>
  <si>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</si>
  <si>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</si>
  <si>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</si>
  <si>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</si>
  <si>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</si>
  <si>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</si>
  <si>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</si>
  <si>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</si>
  <si>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</si>
  <si>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</si>
  <si>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</si>
  <si>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</si>
  <si>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</si>
  <si>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</si>
  <si>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</si>
  <si>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</si>
  <si>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</si>
  <si>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</si>
  <si>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</si>
  <si>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</si>
  <si>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</si>
  <si>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</si>
  <si>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</si>
  <si>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</si>
  <si>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</si>
  <si>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</si>
  <si>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</si>
  <si>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</si>
  <si>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</si>
  <si>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</si>
  <si>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</si>
  <si>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</si>
  <si>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</si>
  <si>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</si>
  <si>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</si>
  <si>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</si>
  <si>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</si>
  <si>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</si>
  <si>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</si>
  <si>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</si>
  <si>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</si>
  <si>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</si>
  <si>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</si>
  <si>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</si>
  <si>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</si>
  <si>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</si>
  <si>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</si>
  <si>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</si>
  <si>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</si>
  <si>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</si>
  <si>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</si>
  <si>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</si>
  <si>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</si>
  <si>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</si>
  <si>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</si>
  <si>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</si>
  <si>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</si>
  <si>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</si>
  <si>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</si>
  <si>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</si>
  <si>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</si>
  <si>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</si>
  <si>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</si>
  <si>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</si>
  <si>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</si>
  <si>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</si>
  <si>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</si>
  <si>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</si>
  <si>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</si>
  <si>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</si>
  <si>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</si>
  <si>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</si>
  <si>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</si>
  <si>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</si>
  <si>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</si>
  <si>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</si>
  <si>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</si>
  <si>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</si>
  <si>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</si>
  <si>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</si>
  <si>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</si>
  <si>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</si>
  <si>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</si>
  <si>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</si>
  <si>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</si>
  <si>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</si>
  <si>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</si>
  <si>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</si>
  <si>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</si>
  <si>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</si>
  <si>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</si>
  <si>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</si>
  <si>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</si>
  <si>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</si>
  <si>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</si>
  <si>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</si>
  <si>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</si>
  <si>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</si>
  <si>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</si>
  <si>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</si>
  <si>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</si>
  <si>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</si>
  <si>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</si>
  <si>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</si>
  <si>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</si>
  <si>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</si>
  <si>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</si>
  <si>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</si>
  <si>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</si>
  <si>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</si>
  <si>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</si>
  <si>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</si>
  <si>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</si>
  <si>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</si>
  <si>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</si>
  <si>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</si>
  <si>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</si>
  <si>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</si>
  <si>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</si>
  <si>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</si>
  <si>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</si>
  <si>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</si>
  <si>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</si>
  <si>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</si>
  <si>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</si>
  <si>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</si>
  <si>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</si>
  <si>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</si>
  <si>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</si>
  <si>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</si>
  <si>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</si>
  <si>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</si>
  <si>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</si>
  <si>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</si>
  <si>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</si>
  <si>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</si>
  <si>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</si>
  <si>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</si>
  <si>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</si>
  <si>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</si>
  <si>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</si>
  <si>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</si>
  <si>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</si>
  <si>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</si>
  <si>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</si>
  <si>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</si>
  <si>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</si>
  <si>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</si>
  <si>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</si>
  <si>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</si>
  <si>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</si>
  <si>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</si>
  <si>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</si>
  <si>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</si>
  <si>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</si>
  <si>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</si>
  <si>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</si>
  <si>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</si>
  <si>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</si>
  <si>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</si>
  <si>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</si>
  <si>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</si>
  <si>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</si>
  <si>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</si>
  <si>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</si>
  <si>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</si>
  <si>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</si>
  <si>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</si>
  <si>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</si>
  <si>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</si>
  <si>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</si>
  <si>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</si>
  <si>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</si>
  <si>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</si>
  <si>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</si>
  <si>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</si>
  <si>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</si>
  <si>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</si>
  <si>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</si>
  <si>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</si>
  <si>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</si>
  <si>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</si>
  <si>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</si>
  <si>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</si>
  <si>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</si>
  <si>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</si>
  <si>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</si>
  <si>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</si>
  <si>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</si>
  <si>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</si>
  <si>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</si>
  <si>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</si>
  <si>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</si>
  <si>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</si>
  <si>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</si>
  <si>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</si>
  <si>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</si>
  <si>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</si>
  <si>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</si>
  <si>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</si>
  <si>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</si>
  <si>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</si>
  <si>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</si>
  <si>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</si>
  <si>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</si>
  <si>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</si>
  <si>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</si>
  <si>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</si>
  <si>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</si>
  <si>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</si>
  <si>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</si>
  <si>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</si>
  <si>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</si>
  <si>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</si>
  <si>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</si>
  <si>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</si>
  <si>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</si>
  <si>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</si>
  <si>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</si>
  <si>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</si>
  <si>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</si>
  <si>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</si>
  <si>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</si>
  <si>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</si>
  <si>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</si>
  <si>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</si>
  <si>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</si>
  <si>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</si>
  <si>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</si>
  <si>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</si>
  <si>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</si>
  <si>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</si>
  <si>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</si>
  <si>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</si>
  <si>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</si>
  <si>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</si>
  <si>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</si>
  <si>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</si>
  <si>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</si>
  <si>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</si>
  <si>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</si>
  <si>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</si>
  <si>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</si>
  <si>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</si>
  <si>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</si>
  <si>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</si>
  <si>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</si>
  <si>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</si>
  <si>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</si>
  <si>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</si>
  <si>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</si>
  <si>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</si>
  <si>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</si>
  <si>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</si>
  <si>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</si>
  <si>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</si>
  <si>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</si>
  <si>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</si>
  <si>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</si>
  <si>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</si>
  <si>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</si>
  <si>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</si>
  <si>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</si>
  <si>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</si>
  <si>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</si>
  <si>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</si>
  <si>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</si>
  <si>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</si>
  <si>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</si>
  <si>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</si>
  <si>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</si>
  <si>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</si>
  <si>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</si>
  <si>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</si>
  <si>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</si>
  <si>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</si>
  <si>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</si>
  <si>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</si>
  <si>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</si>
  <si>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</si>
  <si>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</si>
  <si>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</si>
  <si>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</si>
  <si>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</si>
  <si>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</si>
  <si>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</si>
  <si>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</si>
  <si>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</si>
  <si>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</si>
  <si>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</si>
  <si>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</si>
  <si>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</si>
  <si>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</si>
  <si>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</si>
  <si>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</si>
  <si>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</si>
  <si>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</si>
  <si>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</si>
  <si>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</si>
  <si>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</si>
  <si>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</si>
  <si>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</si>
  <si>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</si>
  <si>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</si>
  <si>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</si>
  <si>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</si>
  <si>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</si>
  <si>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</si>
  <si>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</si>
  <si>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</si>
  <si>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</si>
  <si>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</si>
  <si>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</si>
  <si>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</si>
  <si>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</si>
  <si>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</si>
  <si>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</si>
  <si>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</si>
  <si>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</si>
  <si>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</si>
  <si>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</si>
  <si>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</si>
  <si>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</si>
  <si>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</si>
  <si>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</si>
  <si>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</si>
  <si>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</si>
  <si>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</si>
  <si>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</si>
  <si>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</si>
  <si>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</si>
  <si>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</si>
  <si>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</si>
  <si>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</si>
  <si>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</si>
  <si>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</si>
  <si>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</si>
  <si>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</si>
  <si>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</si>
  <si>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</si>
  <si>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</si>
  <si>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</si>
  <si>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</si>
  <si>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</si>
  <si>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</si>
  <si>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</si>
  <si>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</si>
  <si>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</si>
  <si>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</si>
  <si>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</si>
  <si>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</si>
  <si>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</si>
  <si>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</si>
  <si>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</si>
  <si>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</si>
  <si>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</si>
  <si>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</si>
  <si>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</si>
  <si>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</si>
  <si>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</si>
  <si>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</si>
  <si>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</si>
  <si>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</si>
  <si>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</si>
  <si>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</si>
  <si>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</si>
  <si>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</si>
  <si>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</si>
  <si>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</si>
  <si>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</si>
  <si>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</si>
  <si>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</si>
  <si>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</si>
  <si>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</si>
  <si>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</si>
  <si>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</si>
  <si>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</si>
  <si>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</si>
  <si>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</si>
  <si>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</si>
  <si>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</si>
  <si>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</si>
  <si>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</si>
  <si>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</si>
  <si>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</si>
  <si>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</si>
  <si>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</si>
  <si>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</si>
  <si>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</si>
  <si>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</si>
  <si>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</si>
  <si>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</si>
  <si>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</si>
  <si>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</si>
  <si>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</si>
  <si>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</si>
  <si>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</si>
  <si>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</si>
  <si>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</si>
  <si>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</si>
  <si>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</si>
  <si>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</si>
  <si>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</si>
  <si>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</si>
  <si>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</si>
  <si>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</si>
  <si>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</si>
  <si>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</si>
  <si>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</si>
  <si>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</si>
  <si>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</si>
  <si>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</si>
  <si>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</si>
  <si>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</si>
  <si>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</si>
  <si>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</si>
  <si>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</si>
  <si>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</si>
  <si>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</si>
  <si>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</si>
  <si>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</si>
  <si>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</si>
  <si>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</si>
  <si>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</si>
  <si>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</si>
  <si>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</si>
  <si>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</si>
  <si>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</si>
  <si>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</si>
  <si>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</si>
  <si>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</si>
  <si>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</si>
  <si>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</si>
  <si>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</si>
  <si>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</si>
  <si>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</si>
  <si>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</si>
  <si>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</si>
  <si>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</si>
  <si>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</si>
  <si>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</si>
  <si>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</si>
  <si>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</si>
  <si>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</si>
  <si>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</si>
  <si>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</si>
  <si>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</si>
  <si>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</si>
  <si>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</si>
  <si>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</si>
  <si>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</si>
  <si>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</si>
  <si>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</si>
  <si>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</si>
  <si>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</si>
  <si>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</si>
  <si>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</si>
  <si>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</si>
  <si>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</si>
  <si>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</si>
  <si>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</si>
  <si>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</si>
  <si>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</si>
  <si>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</si>
  <si>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</si>
  <si>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</si>
  <si>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</si>
  <si>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</si>
  <si>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</si>
  <si>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</si>
  <si>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</si>
  <si>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</si>
  <si>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</si>
  <si>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</si>
  <si>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</si>
  <si>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</si>
  <si>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</si>
  <si>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</si>
  <si>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</si>
  <si>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</si>
  <si>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</si>
  <si>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</si>
  <si>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</si>
  <si>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</si>
  <si>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</si>
  <si>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</si>
  <si>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</si>
  <si>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</si>
  <si>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</si>
  <si>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</si>
  <si>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</si>
  <si>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</si>
  <si>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</si>
  <si>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</si>
  <si>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</si>
  <si>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</si>
  <si>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</si>
  <si>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</si>
  <si>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</si>
  <si>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</si>
  <si>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</si>
  <si>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</si>
  <si>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</si>
  <si>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</si>
  <si>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</si>
  <si>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</si>
  <si>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</si>
  <si>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</si>
  <si>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</si>
  <si>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</si>
  <si>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</si>
  <si>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</si>
  <si>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</si>
  <si>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</si>
  <si>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</si>
  <si>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</si>
  <si>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</si>
  <si>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</si>
  <si>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</si>
  <si>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</si>
  <si>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</si>
  <si>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</si>
  <si>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</si>
  <si>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</si>
  <si>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</si>
  <si>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</si>
  <si>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</si>
  <si>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</si>
  <si>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</si>
  <si>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</si>
  <si>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</si>
  <si>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</si>
  <si>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</si>
  <si>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</si>
  <si>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</si>
  <si>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</si>
  <si>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</si>
  <si>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</si>
  <si>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</si>
  <si>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</si>
  <si>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</si>
  <si>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</si>
  <si>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</si>
  <si>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</si>
  <si>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</si>
  <si>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</si>
  <si>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</si>
  <si>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</si>
  <si>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</si>
  <si>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</si>
  <si>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</si>
  <si>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</si>
  <si>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</si>
  <si>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</si>
  <si>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</si>
  <si>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</si>
  <si>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</si>
  <si>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</si>
  <si>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</si>
  <si>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</si>
  <si>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</si>
  <si>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</si>
  <si>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</si>
  <si>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</si>
  <si>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</si>
  <si>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</si>
  <si>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</si>
  <si>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</si>
  <si>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</si>
  <si>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</si>
  <si>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</si>
  <si>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</si>
  <si>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</si>
  <si>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</si>
  <si>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</si>
  <si>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</si>
  <si>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</si>
  <si>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</si>
  <si>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</si>
  <si>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</si>
  <si>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</si>
  <si>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</si>
  <si>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</si>
  <si>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</si>
  <si>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</si>
  <si>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</si>
  <si>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</si>
  <si>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</si>
  <si>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</si>
  <si>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</si>
  <si>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</si>
  <si>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</si>
  <si>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</si>
  <si>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</si>
  <si>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</si>
  <si>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</si>
  <si>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</si>
  <si>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</si>
  <si>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</si>
  <si>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</si>
  <si>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</si>
  <si>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</si>
  <si>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</si>
  <si>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</si>
  <si>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</si>
  <si>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</si>
  <si>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</si>
  <si>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</si>
  <si>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</si>
  <si>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</si>
  <si>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</si>
  <si>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</si>
  <si>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</si>
  <si>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</si>
  <si>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</si>
  <si>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</si>
  <si>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</si>
  <si>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</si>
  <si>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</si>
  <si>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</si>
  <si>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</si>
  <si>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</si>
  <si>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</si>
  <si>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</si>
  <si>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</si>
  <si>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</si>
  <si>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</si>
  <si>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</si>
  <si>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</si>
  <si>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</si>
  <si>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</si>
  <si>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</si>
  <si>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</si>
  <si>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</si>
  <si>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</si>
  <si>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</si>
  <si>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</si>
  <si>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</si>
  <si>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</si>
  <si>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</si>
  <si>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</si>
  <si>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</si>
  <si>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</si>
  <si>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</si>
  <si>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</si>
  <si>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</si>
  <si>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</si>
  <si>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</si>
  <si>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</si>
  <si>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</si>
  <si>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</si>
  <si>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</si>
  <si>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</si>
  <si>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</si>
  <si>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</si>
  <si>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</si>
  <si>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</si>
  <si>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</si>
  <si>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</si>
  <si>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</si>
  <si>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</si>
  <si>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</si>
  <si>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</si>
  <si>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</si>
  <si>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</si>
  <si>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</si>
  <si>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</si>
  <si>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</si>
  <si>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</si>
  <si>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</si>
  <si>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</si>
  <si>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</si>
  <si>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</si>
  <si>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</si>
  <si>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</si>
  <si>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</si>
  <si>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</si>
  <si>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</si>
  <si>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</si>
  <si>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</si>
  <si>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</si>
  <si>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</si>
  <si>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</si>
  <si>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</si>
  <si>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</si>
  <si>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</si>
  <si>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</si>
  <si>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</si>
  <si>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</si>
  <si>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</si>
  <si>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</si>
  <si>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</si>
  <si>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</si>
  <si>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</si>
  <si>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</si>
  <si>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</si>
  <si>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</si>
  <si>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</si>
  <si>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</si>
  <si>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</si>
  <si>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</si>
  <si>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</si>
  <si>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</si>
  <si>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</si>
  <si>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</si>
  <si>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</si>
  <si>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</si>
  <si>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</si>
  <si>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</si>
  <si>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</si>
  <si>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</si>
  <si>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</si>
  <si>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</si>
  <si>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</si>
  <si>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</si>
  <si>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</si>
  <si>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</si>
  <si>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</si>
  <si>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</si>
  <si>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</si>
  <si>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</si>
  <si>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</si>
  <si>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</si>
  <si>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</si>
  <si>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</si>
  <si>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</si>
  <si>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</si>
  <si>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</si>
  <si>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</si>
  <si>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</si>
  <si>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</si>
  <si>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</si>
  <si>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</si>
  <si>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</si>
  <si>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</si>
  <si>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</si>
  <si>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</si>
  <si>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</si>
  <si>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</si>
  <si>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</si>
  <si>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</si>
  <si>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</si>
  <si>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</si>
  <si>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</si>
  <si>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</si>
  <si>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</si>
  <si>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</si>
  <si>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</si>
  <si>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</si>
  <si>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</si>
  <si>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</si>
  <si>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</si>
  <si>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</si>
  <si>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</si>
  <si>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</si>
  <si>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</si>
  <si>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</si>
  <si>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</si>
  <si>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</si>
  <si>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</si>
  <si>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</si>
  <si>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</si>
  <si>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</si>
  <si>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</si>
  <si>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</si>
  <si>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</si>
  <si>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</si>
  <si>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</si>
  <si>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</si>
  <si>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</si>
  <si>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</si>
  <si>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</si>
  <si>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</si>
  <si>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</si>
  <si>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</si>
  <si>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</si>
  <si>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</si>
  <si>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</si>
  <si>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</si>
  <si>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</si>
  <si>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</si>
  <si>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</si>
  <si>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</si>
  <si>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</si>
  <si>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</si>
  <si>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</si>
  <si>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</si>
  <si>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</si>
  <si>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</si>
  <si>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</si>
  <si>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</si>
  <si>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</si>
  <si>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</si>
  <si>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</si>
  <si>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</si>
  <si>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</si>
  <si>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</si>
  <si>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</si>
  <si>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</si>
  <si>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</si>
  <si>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</si>
  <si>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</si>
  <si>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</si>
  <si>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</si>
  <si>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</si>
  <si>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</si>
  <si>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</si>
  <si>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</si>
  <si>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</si>
  <si>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</si>
  <si>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</si>
  <si>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</si>
  <si>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</si>
  <si>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</si>
  <si>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</si>
  <si>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</si>
  <si>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</si>
  <si>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</si>
  <si>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</si>
  <si>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</si>
  <si>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</si>
  <si>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</si>
  <si>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</si>
  <si>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</si>
  <si>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</si>
  <si>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</si>
  <si>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</si>
  <si>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</si>
  <si>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</si>
  <si>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</si>
  <si>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</si>
  <si>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</si>
  <si>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</si>
  <si>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</si>
  <si>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</si>
  <si>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</si>
  <si>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</si>
  <si>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</si>
  <si>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</si>
  <si>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</si>
  <si>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</si>
  <si>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</si>
  <si>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</si>
  <si>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</si>
  <si>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</si>
  <si>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</si>
  <si>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</si>
  <si>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</si>
  <si>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</si>
  <si>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</si>
  <si>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</si>
  <si>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</si>
  <si>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</si>
  <si>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</si>
  <si>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</si>
  <si>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</si>
  <si>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</si>
  <si>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</si>
  <si>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</si>
  <si>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</si>
  <si>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</si>
  <si>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</si>
  <si>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</si>
  <si>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</si>
  <si>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</si>
  <si>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</si>
  <si>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</si>
  <si>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</si>
  <si>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</si>
  <si>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</si>
  <si>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</si>
  <si>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</si>
  <si>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</si>
  <si>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</si>
  <si>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</si>
  <si>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</si>
  <si>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</si>
  <si>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</si>
  <si>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</si>
  <si>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</si>
  <si>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</si>
  <si>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</si>
  <si>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</si>
  <si>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</si>
  <si>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</si>
  <si>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</si>
  <si>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</si>
  <si>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</si>
  <si>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</si>
  <si>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</si>
  <si>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</si>
  <si>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</si>
  <si>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</si>
  <si>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</si>
  <si>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</si>
  <si>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</si>
  <si>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</si>
  <si>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</si>
  <si>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</si>
  <si>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</si>
  <si>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</si>
  <si>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</si>
  <si>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</si>
  <si>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</si>
  <si>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</si>
  <si>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</si>
  <si>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</si>
  <si>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</si>
  <si>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</si>
  <si>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</si>
  <si>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</si>
  <si>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</si>
  <si>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</si>
  <si>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</si>
  <si>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</si>
  <si>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</si>
  <si>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</si>
  <si>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</si>
  <si>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</si>
  <si>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</si>
  <si>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</si>
  <si>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</si>
  <si>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</si>
  <si>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</si>
  <si>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</si>
  <si>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</si>
  <si>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</si>
  <si>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</si>
  <si>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</si>
  <si>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</si>
  <si>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</si>
  <si>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</si>
  <si>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</si>
  <si>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</si>
  <si>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</si>
  <si>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</si>
  <si>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</si>
  <si>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</si>
  <si>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</si>
  <si>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</si>
  <si>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</si>
  <si>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</si>
  <si>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</si>
  <si>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</si>
  <si>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</si>
  <si>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</si>
  <si>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</si>
  <si>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</si>
  <si>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</si>
  <si>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</si>
  <si>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</si>
  <si>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</si>
  <si>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</si>
  <si>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</si>
  <si>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</si>
  <si>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</si>
  <si>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</si>
  <si>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</si>
  <si>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</si>
  <si>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</si>
  <si>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</si>
  <si>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</si>
  <si>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</si>
  <si>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</si>
  <si>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</si>
  <si>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</si>
  <si>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</si>
  <si>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</si>
  <si>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</si>
  <si>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</si>
  <si>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</si>
  <si>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</si>
  <si>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</si>
  <si>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</si>
  <si>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</si>
  <si>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</si>
  <si>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</si>
  <si>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</si>
  <si>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</si>
  <si>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</si>
  <si>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</si>
  <si>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</si>
  <si>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</si>
  <si>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</si>
  <si>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</si>
  <si>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</si>
  <si>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</si>
  <si>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</si>
  <si>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</si>
  <si>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</si>
  <si>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</si>
  <si>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</si>
  <si>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</si>
  <si>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</si>
  <si>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</si>
  <si>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</si>
  <si>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</si>
  <si>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</si>
  <si>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</si>
  <si>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</si>
  <si>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</si>
  <si>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</si>
  <si>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</si>
  <si>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</si>
  <si>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</si>
  <si>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</si>
  <si>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</si>
  <si>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</si>
  <si>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</si>
  <si>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</si>
  <si>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</si>
  <si>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</si>
  <si>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</si>
  <si>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</si>
  <si>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</si>
  <si>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</si>
  <si>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</si>
  <si>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</si>
  <si>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</si>
  <si>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</si>
  <si>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</si>
  <si>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</si>
  <si>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</si>
  <si>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</si>
  <si>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</si>
  <si>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</si>
  <si>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</si>
  <si>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</si>
  <si>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</si>
  <si>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</si>
  <si>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</si>
  <si>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</si>
  <si>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</si>
  <si>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</si>
  <si>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</si>
  <si>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</si>
  <si>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</si>
  <si>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</si>
  <si>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</si>
  <si>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</si>
  <si>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</si>
  <si>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</si>
  <si>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</si>
  <si>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</si>
  <si>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</si>
  <si>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</si>
  <si>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</si>
  <si>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</si>
  <si>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</si>
  <si>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</si>
  <si>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</si>
  <si>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</si>
  <si>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</si>
  <si>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</si>
  <si>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</si>
  <si>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</si>
  <si>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</si>
  <si>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</si>
  <si>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</si>
  <si>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</si>
  <si>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</si>
  <si>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</si>
  <si>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</si>
  <si>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</si>
  <si>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</si>
  <si>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</si>
  <si>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</si>
  <si>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</si>
  <si>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</si>
  <si>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</si>
  <si>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</si>
  <si>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</si>
  <si>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</si>
  <si>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</si>
  <si>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</si>
  <si>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</si>
  <si>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</si>
  <si>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</si>
  <si>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</si>
  <si>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</si>
  <si>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</si>
  <si>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</si>
  <si>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</si>
  <si>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</si>
  <si>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</si>
  <si>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</si>
  <si>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</si>
  <si>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</si>
  <si>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</si>
  <si>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</si>
  <si>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</si>
  <si>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</si>
  <si>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</si>
  <si>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</si>
  <si>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</si>
  <si>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</si>
  <si>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</si>
  <si>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</si>
  <si>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</si>
  <si>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</si>
  <si>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</si>
  <si>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</si>
  <si>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</si>
  <si>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</si>
  <si>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</si>
  <si>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</si>
  <si>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</si>
  <si>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</si>
  <si>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</si>
  <si>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</si>
  <si>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</si>
  <si>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</si>
  <si>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</si>
  <si>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</si>
  <si>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</si>
  <si>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</si>
  <si>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</si>
  <si>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</si>
  <si>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</si>
  <si>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</si>
  <si>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</si>
  <si>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</si>
  <si>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</si>
  <si>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</si>
  <si>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</si>
  <si>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</si>
  <si>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</si>
  <si>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</si>
  <si>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</si>
  <si>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</si>
  <si>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</si>
  <si>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</si>
  <si>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</si>
  <si>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</si>
  <si>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</si>
  <si>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</si>
  <si>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</si>
  <si>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</si>
  <si>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</si>
  <si>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</si>
  <si>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</si>
  <si>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</si>
  <si>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</si>
  <si>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</si>
  <si>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</si>
  <si>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</si>
  <si>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</si>
  <si>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</si>
  <si>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</si>
  <si>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</si>
  <si>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</si>
  <si>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</si>
  <si>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</si>
  <si>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</si>
  <si>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</si>
  <si>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</si>
  <si>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</si>
  <si>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</si>
  <si>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</si>
  <si>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</si>
  <si>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</si>
  <si>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</si>
  <si>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</si>
  <si>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</si>
  <si>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</si>
  <si>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</si>
  <si>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</si>
  <si>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</si>
  <si>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</si>
  <si>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</si>
  <si>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</si>
  <si>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</si>
  <si>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</si>
  <si>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</si>
  <si>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</si>
  <si>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</si>
  <si>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</si>
  <si>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</si>
  <si>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</si>
  <si>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</si>
  <si>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</si>
  <si>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</si>
  <si>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</si>
  <si>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</si>
  <si>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</si>
  <si>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</si>
  <si>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</si>
  <si>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</si>
  <si>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</si>
  <si>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</si>
  <si>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</si>
  <si>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</si>
  <si>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</si>
  <si>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</si>
  <si>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</si>
  <si>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</si>
  <si>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</si>
  <si>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</si>
  <si>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</si>
  <si>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</si>
  <si>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</si>
  <si>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</si>
  <si>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</si>
  <si>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</si>
  <si>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</si>
  <si>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</si>
  <si>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</si>
  <si>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</si>
  <si>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</si>
  <si>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</si>
  <si>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</si>
  <si>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</si>
  <si>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</si>
  <si>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</si>
  <si>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</si>
  <si>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</si>
  <si>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</si>
  <si>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</si>
  <si>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</si>
  <si>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</si>
  <si>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</si>
  <si>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</si>
  <si>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</si>
  <si>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</si>
  <si>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</si>
  <si>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</si>
  <si>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</si>
  <si>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</si>
  <si>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</si>
  <si>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</si>
  <si>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</si>
  <si>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</si>
  <si>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</si>
  <si>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</si>
  <si>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</si>
  <si>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</si>
  <si>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</si>
  <si>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</si>
  <si>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</si>
  <si>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</si>
  <si>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</si>
  <si>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</si>
  <si>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</si>
  <si>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</si>
  <si>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</si>
  <si>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</si>
  <si>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</si>
  <si>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</si>
  <si>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</si>
  <si>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</si>
  <si>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</si>
  <si>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</si>
  <si>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</si>
  <si>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</si>
  <si>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</si>
  <si>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</si>
  <si>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</si>
  <si>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</si>
  <si>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</si>
  <si>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</si>
  <si>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</si>
  <si>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</si>
  <si>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</si>
  <si>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</si>
  <si>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</si>
  <si>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</si>
  <si>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</si>
  <si>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</si>
  <si>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</si>
  <si>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</si>
  <si>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</si>
  <si>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</si>
  <si>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</si>
  <si>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</si>
  <si>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</si>
  <si>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</si>
  <si>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</si>
  <si>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</si>
  <si>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</si>
  <si>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</si>
  <si>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</si>
  <si>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</si>
  <si>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</si>
  <si>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</si>
  <si>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</si>
  <si>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</si>
  <si>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</si>
  <si>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</si>
  <si>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</si>
  <si>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</si>
  <si>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</si>
  <si>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</si>
  <si>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</si>
  <si>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</si>
  <si>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</si>
  <si>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</si>
  <si>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</si>
  <si>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</si>
  <si>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</si>
  <si>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</si>
  <si>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</si>
  <si>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</si>
  <si>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</si>
  <si>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</si>
  <si>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</si>
  <si>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</si>
  <si>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</si>
  <si>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</si>
  <si>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</si>
  <si>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</si>
  <si>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</si>
  <si>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</si>
  <si>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</si>
  <si>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</si>
  <si>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</si>
  <si>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</si>
  <si>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</si>
  <si>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</si>
  <si>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</si>
  <si>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</si>
  <si>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</si>
  <si>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</si>
  <si>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</si>
  <si>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</si>
  <si>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</si>
  <si>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</si>
  <si>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</si>
  <si>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</si>
  <si>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</si>
  <si>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</si>
  <si>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</si>
  <si>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</si>
  <si>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</si>
  <si>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</si>
  <si>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</si>
  <si>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</si>
  <si>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</si>
  <si>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</si>
  <si>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</si>
  <si>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</si>
  <si>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</si>
  <si>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</si>
  <si>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</si>
  <si>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</si>
  <si>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</si>
  <si>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</si>
  <si>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</si>
  <si>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</si>
  <si>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</si>
  <si>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</si>
  <si>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</si>
  <si>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</si>
  <si>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</si>
  <si>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</si>
  <si>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</si>
  <si>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</si>
  <si>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</si>
  <si>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</si>
  <si>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</si>
  <si>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</si>
  <si>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</si>
  <si>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</si>
  <si>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</si>
  <si>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</si>
  <si>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</si>
  <si>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</si>
  <si>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</si>
  <si>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</si>
  <si>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</si>
  <si>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</si>
  <si>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</si>
  <si>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</si>
  <si>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</si>
  <si>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</si>
  <si>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</si>
  <si>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</si>
  <si>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</si>
  <si>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</si>
  <si>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</si>
  <si>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</si>
  <si>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</si>
  <si>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</si>
  <si>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</si>
  <si>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</si>
  <si>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</si>
  <si>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</si>
  <si>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</si>
  <si>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</si>
  <si>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</si>
  <si>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</si>
  <si>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</si>
  <si>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</si>
  <si>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</si>
  <si>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</si>
  <si>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</si>
  <si>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</si>
  <si>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</si>
  <si>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</si>
  <si>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</si>
  <si>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</si>
  <si>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</si>
  <si>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</si>
  <si>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</si>
  <si>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</si>
  <si>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</si>
  <si>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</si>
  <si>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</si>
  <si>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</si>
  <si>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</si>
  <si>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</si>
  <si>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</si>
  <si>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</si>
  <si>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</si>
  <si>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</si>
  <si>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</si>
  <si>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</si>
  <si>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</si>
  <si>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</si>
  <si>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</si>
  <si>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</si>
  <si>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</si>
  <si>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</si>
  <si>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</si>
  <si>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</si>
  <si>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</si>
  <si>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</si>
  <si>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</si>
  <si>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</si>
  <si>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</si>
  <si>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</si>
  <si>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</si>
  <si>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</si>
  <si>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</si>
  <si>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</si>
  <si>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</si>
  <si>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</si>
  <si>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</si>
  <si>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</si>
  <si>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</si>
  <si>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</si>
  <si>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</si>
  <si>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</si>
  <si>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</si>
  <si>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</si>
  <si>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</si>
  <si>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</si>
  <si>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</si>
  <si>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</si>
  <si>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</si>
  <si>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</si>
  <si>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</si>
  <si>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</si>
  <si>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</si>
  <si>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</si>
  <si>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</si>
  <si>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</si>
  <si>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</si>
  <si>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</si>
  <si>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</si>
  <si>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</si>
  <si>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</si>
  <si>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</si>
  <si>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</si>
  <si>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</si>
  <si>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</si>
  <si>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</si>
  <si>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</si>
  <si>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</si>
  <si>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</si>
  <si>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</si>
  <si>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</si>
  <si>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</si>
  <si>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</si>
  <si>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</si>
  <si>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</si>
  <si>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</si>
  <si>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</si>
  <si>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</si>
  <si>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</si>
  <si>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</si>
  <si>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</si>
  <si>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</si>
  <si>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</si>
  <si>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</si>
  <si>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</si>
  <si>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</si>
  <si>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</si>
  <si>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</si>
  <si>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</si>
  <si>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</si>
  <si>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</si>
  <si>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</si>
  <si>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</si>
  <si>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</si>
  <si>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</si>
  <si>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</si>
  <si>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</si>
  <si>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</si>
  <si>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</si>
  <si>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</si>
  <si>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</si>
  <si>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</si>
  <si>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</si>
  <si>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</si>
  <si>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</si>
  <si>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</si>
  <si>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</si>
  <si>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</si>
  <si>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</si>
  <si>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</si>
  <si>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</si>
  <si>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</si>
  <si>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</si>
  <si>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</si>
  <si>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</si>
  <si>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</si>
  <si>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</si>
  <si>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</si>
  <si>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</si>
  <si>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</si>
  <si>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</si>
  <si>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</si>
  <si>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</si>
  <si>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</si>
  <si>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</si>
  <si>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</si>
  <si>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</si>
  <si>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</si>
  <si>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</si>
  <si>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</si>
  <si>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</si>
  <si>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</si>
  <si>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</si>
  <si>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</si>
  <si>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</si>
  <si>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</si>
  <si>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</si>
  <si>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</si>
  <si>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</si>
  <si>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</si>
  <si>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</si>
  <si>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</si>
  <si>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</si>
  <si>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</si>
  <si>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</si>
  <si>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</si>
  <si>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</si>
  <si>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</si>
  <si>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</si>
  <si>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</si>
  <si>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</si>
  <si>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</si>
  <si>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</si>
  <si>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</si>
  <si>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</si>
  <si>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</si>
  <si>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</si>
  <si>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</si>
  <si>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</si>
  <si>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</si>
  <si>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</si>
  <si>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</si>
  <si>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</si>
  <si>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</si>
  <si>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</si>
  <si>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</si>
  <si>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</si>
  <si>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</si>
  <si>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</si>
  <si>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</si>
  <si>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</si>
  <si>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</si>
  <si>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</si>
  <si>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</si>
  <si>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</si>
  <si>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</si>
  <si>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</si>
  <si>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</si>
  <si>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</si>
  <si>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</si>
  <si>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</si>
  <si>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</si>
  <si>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</si>
  <si>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</si>
  <si>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</si>
  <si>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</si>
  <si>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</si>
  <si>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</si>
  <si>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</si>
  <si>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</si>
  <si>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</si>
  <si>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</si>
  <si>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</si>
  <si>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</si>
  <si>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</si>
  <si>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</si>
  <si>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</si>
  <si>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</si>
  <si>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</si>
  <si>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</si>
  <si>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</si>
  <si>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</si>
  <si>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</si>
  <si>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</si>
  <si>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</si>
  <si>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</si>
  <si>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</si>
  <si>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</si>
  <si>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</si>
  <si>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</si>
  <si>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</si>
  <si>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</si>
  <si>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</si>
  <si>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</si>
  <si>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</si>
  <si>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</si>
  <si>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</si>
  <si>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</si>
  <si>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</si>
  <si>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</si>
  <si>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</si>
  <si>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</si>
  <si>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</si>
  <si>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</si>
  <si>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</si>
  <si>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</si>
  <si>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</si>
  <si>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</si>
  <si>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</si>
  <si>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</si>
  <si>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</si>
  <si>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</si>
  <si>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</si>
  <si>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</si>
  <si>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</si>
  <si>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</si>
  <si>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</si>
  <si>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</si>
  <si>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</si>
  <si>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</si>
  <si>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</si>
  <si>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</si>
  <si>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</si>
  <si>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</si>
  <si>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</si>
  <si>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</si>
  <si>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</si>
  <si>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</si>
  <si>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</si>
  <si>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</si>
  <si>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</si>
  <si>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</si>
  <si>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</si>
  <si>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</si>
  <si>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</si>
  <si>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</si>
  <si>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</si>
  <si>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</si>
  <si>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</si>
  <si>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</si>
  <si>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</si>
  <si>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</si>
  <si>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</si>
  <si>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</si>
  <si>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</si>
  <si>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</si>
  <si>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</si>
  <si>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</si>
  <si>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</si>
  <si>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</si>
  <si>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</si>
  <si>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</si>
  <si>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</si>
  <si>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</si>
  <si>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</si>
  <si>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</si>
  <si>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</si>
  <si>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</si>
  <si>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</si>
  <si>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</si>
  <si>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</si>
  <si>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</si>
  <si>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</si>
  <si>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</si>
  <si>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</si>
  <si>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</si>
  <si>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</si>
  <si>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</si>
  <si>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</si>
  <si>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</si>
  <si>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</si>
  <si>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</si>
  <si>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</si>
  <si>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</si>
  <si>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</si>
  <si>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</si>
  <si>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</si>
  <si>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</si>
  <si>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</si>
  <si>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</si>
  <si>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</si>
  <si>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</si>
  <si>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</si>
  <si>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</si>
  <si>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</si>
  <si>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</si>
  <si>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</si>
  <si>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</si>
  <si>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</si>
  <si>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</si>
  <si>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</si>
  <si>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</si>
  <si>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</si>
  <si>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</si>
  <si>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</si>
  <si>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</si>
  <si>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</si>
  <si>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</si>
  <si>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</si>
  <si>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</si>
  <si>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</si>
  <si>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</si>
  <si>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</si>
  <si>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</si>
  <si>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</si>
  <si>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</si>
  <si>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</si>
  <si>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</si>
  <si>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</si>
  <si>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</si>
  <si>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</si>
  <si>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</si>
  <si>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</si>
  <si>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</si>
  <si>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</si>
  <si>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</si>
  <si>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</si>
  <si>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</si>
  <si>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</si>
  <si>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</si>
  <si>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</si>
  <si>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</si>
  <si>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</si>
  <si>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</si>
  <si>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</si>
  <si>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</si>
  <si>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</si>
  <si>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</si>
  <si>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</si>
  <si>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</si>
  <si>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</si>
  <si>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</si>
  <si>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</si>
  <si>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</si>
  <si>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</si>
  <si>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</si>
  <si>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</si>
  <si>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</si>
  <si>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</si>
  <si>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</si>
  <si>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</si>
  <si>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</si>
  <si>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</si>
  <si>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</si>
  <si>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</si>
  <si>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</si>
  <si>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</si>
  <si>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</si>
  <si>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</si>
  <si>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</si>
  <si>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</si>
  <si>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</si>
  <si>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</si>
  <si>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</si>
  <si>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</si>
  <si>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</si>
  <si>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</si>
  <si>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</si>
  <si>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</si>
  <si>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</si>
  <si>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</si>
  <si>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</si>
  <si>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</si>
  <si>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</si>
  <si>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</si>
  <si>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</si>
  <si>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</si>
  <si>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</si>
  <si>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</si>
  <si>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</si>
  <si>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</si>
  <si>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</si>
  <si>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</si>
  <si>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</si>
  <si>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</si>
  <si>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</si>
  <si>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</si>
  <si>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</si>
  <si>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</si>
  <si>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</si>
  <si>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</si>
  <si>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</si>
  <si>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</si>
  <si>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</si>
  <si>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</si>
  <si>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</si>
  <si>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</si>
  <si>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</si>
  <si>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</si>
  <si>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</si>
  <si>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</si>
  <si>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</si>
  <si>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</si>
  <si>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</si>
  <si>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</si>
  <si>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</si>
  <si>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</si>
  <si>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</si>
  <si>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</si>
  <si>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</si>
  <si>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</si>
  <si>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</si>
  <si>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</si>
  <si>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</si>
  <si>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</si>
  <si>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</si>
  <si>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</si>
  <si>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</si>
  <si>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</si>
  <si>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</si>
  <si>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</si>
  <si>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</si>
  <si>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</si>
  <si>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</si>
  <si>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</si>
  <si>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</si>
  <si>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</si>
  <si>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</si>
  <si>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</si>
  <si>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</si>
  <si>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</si>
  <si>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</si>
  <si>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</si>
  <si>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</si>
  <si>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</si>
  <si>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</si>
  <si>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</si>
  <si>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</si>
  <si>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</si>
  <si>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</si>
  <si>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</si>
  <si>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</si>
  <si>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</si>
  <si>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</si>
  <si>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</si>
  <si>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</si>
  <si>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</si>
  <si>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</si>
  <si>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</si>
  <si>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</si>
  <si>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</si>
  <si>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</si>
  <si>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</si>
  <si>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</si>
  <si>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</si>
  <si>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</si>
  <si>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</si>
  <si>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</si>
  <si>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</si>
  <si>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</si>
  <si>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</si>
  <si>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</si>
  <si>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</si>
  <si>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</si>
  <si>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</si>
  <si>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</si>
  <si>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</si>
  <si>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</si>
  <si>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</si>
  <si>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</si>
  <si>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</si>
  <si>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</si>
  <si>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</si>
  <si>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</si>
  <si>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</si>
  <si>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</si>
  <si>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</si>
  <si>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</si>
  <si>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</si>
  <si>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</si>
  <si>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</si>
  <si>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</si>
  <si>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</si>
  <si>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</si>
  <si>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</si>
  <si>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</si>
  <si>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</si>
  <si>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</si>
  <si>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</si>
  <si>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</si>
  <si>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</si>
  <si>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</si>
  <si>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</si>
  <si>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</si>
  <si>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</si>
  <si>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</si>
  <si>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</si>
  <si>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</si>
  <si>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</si>
  <si>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</si>
  <si>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</si>
  <si>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</si>
  <si>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</si>
  <si>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</si>
  <si>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</si>
  <si>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</si>
  <si>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</si>
  <si>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</si>
  <si>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</si>
  <si>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</si>
  <si>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</si>
  <si>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</si>
  <si>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</si>
  <si>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</si>
  <si>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</si>
  <si>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</si>
  <si>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</si>
  <si>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</si>
  <si>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</si>
  <si>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</si>
  <si>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</si>
  <si>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</si>
  <si>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</si>
  <si>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</si>
  <si>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</si>
  <si>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</si>
  <si>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</si>
  <si>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</si>
  <si>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</si>
  <si>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</si>
  <si>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</si>
  <si>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</si>
  <si>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</si>
  <si>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</si>
  <si>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</si>
  <si>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</si>
  <si>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</si>
  <si>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</si>
  <si>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</si>
  <si>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</si>
  <si>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</si>
  <si>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</si>
  <si>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</si>
  <si>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</si>
  <si>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</si>
  <si>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</si>
  <si>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</si>
  <si>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</si>
  <si>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</si>
  <si>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</si>
  <si>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</si>
  <si>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</si>
  <si>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</si>
  <si>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</si>
  <si>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</si>
  <si>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</si>
  <si>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</si>
  <si>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</si>
  <si>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</si>
  <si>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</si>
  <si>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</si>
  <si>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</si>
  <si>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</si>
  <si>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</si>
  <si>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</si>
  <si>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</si>
  <si>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</si>
  <si>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</si>
  <si>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</si>
  <si>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</si>
  <si>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</si>
  <si>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</si>
  <si>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</si>
  <si>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</si>
  <si>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</si>
  <si>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</si>
  <si>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</si>
  <si>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</si>
  <si>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</si>
  <si>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</si>
  <si>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</si>
  <si>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</si>
  <si>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</si>
  <si>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</si>
  <si>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</si>
  <si>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</si>
  <si>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</si>
  <si>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</si>
  <si>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</si>
  <si>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</si>
  <si>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</si>
  <si>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</si>
  <si>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</si>
  <si>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</si>
  <si>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</si>
  <si>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</si>
  <si>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</si>
  <si>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</si>
  <si>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</si>
  <si>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</si>
  <si>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</si>
  <si>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</si>
  <si>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</si>
  <si>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</si>
  <si>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</si>
  <si>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</si>
  <si>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</si>
  <si>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</si>
  <si>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</si>
  <si>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</si>
  <si>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</si>
  <si>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</si>
  <si>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</si>
  <si>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</si>
  <si>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</si>
  <si>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</si>
  <si>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</si>
  <si>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</si>
  <si>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</si>
  <si>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</si>
  <si>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</si>
  <si>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</si>
  <si>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</si>
  <si>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</si>
  <si>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</si>
  <si>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</si>
  <si>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</si>
  <si>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</si>
  <si>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</si>
  <si>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</si>
  <si>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</si>
  <si>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</si>
  <si>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</si>
  <si>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</si>
  <si>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</si>
  <si>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</si>
  <si>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</si>
  <si>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</si>
  <si>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</si>
  <si>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</si>
  <si>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</si>
  <si>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</si>
  <si>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</si>
  <si>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</si>
  <si>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</si>
  <si>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</si>
  <si>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</si>
  <si>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</si>
  <si>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</si>
  <si>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</si>
  <si>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</si>
  <si>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</si>
  <si>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</si>
  <si>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</si>
  <si>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</si>
  <si>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</si>
  <si>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</si>
  <si>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</si>
  <si>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</si>
  <si>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</si>
  <si>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</si>
  <si>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</si>
  <si>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</si>
  <si>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</si>
  <si>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</si>
  <si>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</si>
  <si>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</si>
  <si>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</si>
  <si>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</si>
  <si>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</si>
  <si>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</si>
  <si>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</si>
  <si>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</si>
  <si>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</si>
  <si>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</si>
  <si>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</si>
  <si>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</si>
  <si>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</si>
  <si>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</si>
  <si>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</si>
  <si>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</si>
  <si>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</si>
  <si>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</si>
  <si>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</si>
  <si>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</si>
  <si>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</si>
  <si>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</si>
  <si>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</si>
  <si>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</si>
  <si>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</si>
  <si>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</si>
  <si>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</si>
  <si>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</si>
  <si>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</si>
  <si>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</si>
  <si>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</si>
  <si>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</si>
  <si>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</si>
  <si>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</si>
  <si>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</si>
  <si>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</si>
  <si>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</si>
  <si>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</si>
  <si>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</si>
  <si>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</si>
  <si>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</si>
  <si>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</si>
  <si>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</si>
  <si>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</si>
  <si>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</si>
  <si>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</si>
  <si>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</si>
  <si>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</si>
  <si>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</si>
  <si>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</si>
  <si>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</si>
  <si>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</si>
  <si>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</si>
  <si>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</si>
  <si>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</si>
  <si>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</si>
  <si>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</si>
  <si>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</si>
  <si>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</si>
  <si>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</si>
  <si>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</si>
  <si>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</si>
  <si>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</si>
  <si>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</si>
  <si>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</si>
  <si>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</si>
  <si>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</si>
  <si>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</si>
  <si>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</si>
  <si>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</si>
  <si>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</si>
  <si>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</si>
  <si>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</si>
  <si>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</si>
  <si>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</si>
  <si>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</si>
  <si>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</si>
  <si>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</si>
  <si>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</si>
  <si>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</si>
  <si>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</si>
  <si>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</si>
  <si>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</si>
  <si>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</si>
  <si>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</si>
  <si>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</si>
  <si>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</si>
  <si>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</si>
  <si>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</si>
  <si>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</si>
  <si>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</si>
  <si>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</si>
  <si>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</si>
  <si>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</si>
  <si>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</si>
  <si>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</si>
  <si>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</si>
  <si>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</si>
  <si>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</si>
  <si>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</si>
  <si>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</si>
  <si>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</si>
  <si>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</si>
  <si>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</si>
  <si>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</si>
  <si>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</si>
  <si>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</si>
  <si>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</si>
  <si>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</si>
  <si>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</si>
  <si>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</si>
  <si>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</si>
  <si>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</si>
  <si>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</si>
  <si>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</si>
  <si>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</si>
  <si>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</si>
  <si>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</si>
  <si>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</si>
  <si>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</si>
  <si>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</si>
  <si>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</si>
  <si>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</si>
  <si>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</si>
  <si>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</si>
  <si>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</si>
  <si>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</si>
  <si>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</si>
  <si>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</si>
  <si>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</si>
  <si>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</si>
  <si>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</si>
  <si>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</si>
  <si>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</si>
  <si>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</si>
  <si>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</si>
  <si>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</si>
  <si>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</si>
  <si>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</si>
  <si>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</si>
  <si>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</si>
  <si>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</si>
  <si>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</si>
  <si>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</si>
  <si>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</si>
  <si>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</si>
  <si>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</si>
  <si>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</si>
  <si>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</si>
  <si>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</si>
  <si>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</si>
  <si>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</si>
  <si>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</si>
  <si>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</si>
  <si>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</si>
  <si>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</si>
  <si>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</si>
  <si>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</si>
  <si>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</si>
  <si>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</si>
  <si>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</si>
  <si>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</si>
  <si>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</si>
  <si>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</si>
  <si>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</si>
  <si>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</si>
  <si>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</si>
  <si>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</si>
  <si>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</si>
  <si>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</si>
  <si>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</si>
  <si>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</si>
  <si>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</si>
  <si>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</si>
  <si>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</si>
  <si>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</si>
  <si>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</si>
  <si>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</si>
  <si>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</si>
  <si>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</si>
  <si>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</si>
  <si>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</si>
  <si>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</si>
  <si>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</si>
  <si>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</si>
  <si>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</si>
  <si>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</si>
  <si>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</si>
  <si>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</si>
  <si>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</si>
  <si>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</si>
  <si>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</si>
  <si>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</si>
  <si>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</si>
  <si>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</si>
  <si>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</si>
  <si>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</si>
  <si>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</si>
  <si>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</si>
  <si>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</si>
  <si>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</si>
  <si>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</si>
  <si>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</si>
  <si>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</si>
  <si>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</si>
  <si>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</si>
  <si>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</si>
  <si>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</si>
  <si>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</si>
  <si>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</si>
  <si>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</si>
  <si>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</si>
  <si>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</si>
  <si>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</si>
  <si>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</si>
  <si>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</si>
  <si>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</si>
  <si>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</si>
  <si>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</si>
  <si>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</si>
  <si>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</si>
  <si>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</si>
  <si>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</si>
  <si>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</si>
  <si>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</si>
  <si>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</si>
  <si>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</si>
  <si>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</si>
  <si>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</si>
  <si>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</si>
  <si>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</si>
  <si>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</si>
  <si>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</si>
  <si>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</si>
  <si>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</si>
  <si>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</si>
  <si>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</si>
  <si>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</si>
  <si>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</si>
  <si>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</si>
  <si>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</si>
  <si>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</si>
  <si>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</si>
  <si>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</si>
  <si>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</si>
  <si>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</si>
  <si>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</si>
  <si>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</si>
  <si>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</si>
  <si>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</si>
  <si>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</si>
  <si>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</si>
  <si>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</si>
  <si>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</si>
  <si>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</si>
  <si>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</si>
  <si>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</si>
  <si>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</si>
  <si>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</si>
  <si>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</si>
  <si>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</si>
  <si>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</si>
  <si>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</si>
  <si>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</si>
  <si>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</si>
  <si>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</si>
  <si>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</si>
  <si>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</si>
  <si>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</si>
  <si>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</si>
  <si>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</si>
  <si>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</si>
  <si>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</si>
  <si>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</si>
  <si>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</si>
  <si>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</si>
  <si>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</si>
  <si>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</si>
  <si>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</si>
  <si>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</si>
  <si>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</si>
  <si>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</si>
  <si>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</si>
  <si>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</si>
  <si>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</si>
  <si>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</si>
  <si>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</si>
  <si>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</si>
  <si>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</si>
  <si>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</si>
  <si>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</si>
  <si>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</si>
  <si>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</si>
  <si>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</si>
  <si>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</si>
  <si>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</si>
  <si>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</si>
  <si>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</si>
  <si>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</si>
  <si>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</si>
  <si>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</si>
  <si>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</si>
  <si>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</si>
  <si>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</si>
  <si>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</si>
  <si>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</si>
  <si>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</si>
  <si>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</si>
  <si>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</si>
  <si>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</si>
  <si>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</si>
  <si>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</si>
  <si>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</si>
  <si>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</si>
  <si>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</si>
  <si>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</si>
  <si>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</si>
  <si>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</si>
  <si>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</si>
  <si>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</si>
  <si>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</si>
  <si>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</si>
  <si>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</si>
  <si>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</si>
  <si>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</si>
  <si>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</si>
  <si>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</si>
  <si>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</si>
  <si>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</si>
  <si>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</si>
  <si>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</si>
  <si>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</si>
  <si>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</si>
  <si>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</si>
  <si>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</si>
  <si>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</si>
  <si>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</si>
  <si>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</si>
  <si>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</si>
  <si>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</si>
  <si>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</si>
  <si>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</si>
  <si>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</si>
  <si>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</si>
  <si>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</si>
  <si>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</si>
  <si>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</si>
  <si>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</si>
  <si>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</si>
  <si>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</si>
  <si>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</si>
  <si>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</si>
  <si>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</si>
  <si>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</si>
  <si>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</si>
  <si>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</si>
  <si>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</si>
  <si>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</si>
  <si>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</si>
  <si>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</si>
  <si>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</si>
  <si>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</si>
  <si>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</si>
  <si>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</si>
  <si>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</si>
  <si>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</si>
  <si>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</si>
  <si>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</si>
  <si>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</si>
  <si>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</si>
  <si>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</si>
  <si>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</si>
  <si>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</si>
  <si>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</si>
  <si>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</si>
  <si>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</si>
  <si>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</si>
  <si>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</si>
  <si>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</si>
  <si>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</si>
  <si>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</si>
  <si>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</si>
  <si>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</si>
  <si>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</si>
  <si>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</si>
  <si>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</si>
  <si>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</si>
  <si>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</si>
  <si>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</si>
  <si>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</si>
  <si>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</si>
  <si>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</si>
  <si>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</si>
  <si>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</si>
  <si>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</si>
  <si>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</si>
  <si>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</si>
  <si>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</si>
  <si>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</si>
  <si>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</si>
  <si>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</si>
  <si>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</si>
  <si>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</si>
  <si>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</si>
  <si>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</si>
  <si>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</si>
  <si>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</si>
  <si>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</si>
  <si>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</si>
  <si>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</si>
  <si>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</si>
  <si>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</si>
  <si>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</si>
  <si>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</si>
  <si>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</si>
  <si>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</si>
  <si>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</si>
  <si>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</si>
  <si>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</si>
  <si>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</si>
  <si>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</si>
  <si>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</si>
  <si>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</si>
  <si>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</si>
  <si>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</si>
  <si>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</si>
  <si>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</si>
  <si>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</si>
  <si>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</si>
  <si>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</si>
  <si>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</si>
  <si>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</si>
  <si>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</si>
  <si>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</si>
  <si>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</si>
  <si>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</si>
  <si>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</si>
  <si>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</si>
  <si>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</si>
  <si>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</si>
  <si>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</si>
  <si>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</si>
  <si>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</si>
  <si>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</si>
  <si>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</si>
  <si>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</si>
  <si>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</si>
  <si>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</si>
  <si>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</si>
  <si>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</si>
  <si>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</si>
  <si>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</si>
  <si>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</si>
  <si>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</si>
  <si>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</si>
  <si>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</si>
  <si>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</si>
  <si>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</si>
  <si>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</si>
  <si>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</si>
  <si>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</si>
  <si>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</si>
  <si>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</si>
  <si>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</si>
  <si>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</si>
  <si>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</si>
  <si>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</si>
  <si>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</si>
  <si>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</si>
  <si>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</si>
  <si>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</si>
  <si>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</si>
  <si>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</si>
  <si>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</si>
  <si>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</si>
  <si>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</si>
  <si>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</si>
  <si>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</si>
  <si>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</si>
  <si>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</si>
  <si>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</si>
  <si>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</si>
  <si>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</si>
  <si>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</si>
  <si>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</si>
  <si>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</si>
  <si>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</si>
  <si>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</si>
  <si>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</si>
  <si>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</si>
  <si>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</si>
  <si>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</si>
  <si>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</si>
  <si>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</si>
  <si>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</si>
  <si>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</si>
  <si>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</si>
  <si>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</si>
  <si>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</si>
  <si>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</si>
  <si>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</si>
  <si>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</si>
  <si>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</si>
  <si>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</si>
  <si>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</si>
  <si>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</si>
  <si>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</si>
  <si>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</si>
  <si>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</si>
  <si>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</si>
  <si>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</si>
  <si>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</si>
  <si>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</si>
  <si>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</si>
  <si>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</si>
  <si>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</si>
  <si>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</si>
  <si>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</si>
  <si>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</si>
  <si>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</si>
  <si>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</si>
  <si>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</si>
  <si>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</si>
  <si>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</si>
  <si>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</si>
  <si>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</si>
  <si>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</si>
  <si>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</si>
  <si>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</si>
  <si>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</si>
  <si>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</si>
  <si>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</si>
  <si>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</si>
  <si>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</si>
  <si>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</si>
  <si>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</si>
  <si>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</si>
  <si>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</si>
  <si>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</si>
  <si>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</si>
  <si>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</si>
  <si>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</si>
  <si>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</si>
  <si>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</si>
  <si>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</si>
  <si>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</si>
  <si>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</si>
  <si>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</si>
  <si>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</si>
  <si>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</si>
  <si>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</si>
  <si>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</si>
  <si>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</si>
  <si>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</si>
  <si>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</si>
  <si>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</si>
  <si>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</si>
  <si>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</si>
  <si>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</si>
  <si>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</si>
  <si>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</si>
  <si>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</si>
  <si>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</si>
  <si>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</si>
  <si>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</si>
  <si>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</si>
  <si>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</si>
  <si>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</si>
  <si>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</si>
  <si>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</si>
  <si>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</si>
  <si>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</si>
  <si>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</si>
  <si>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</si>
  <si>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</si>
  <si>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</si>
  <si>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</si>
  <si>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</si>
  <si>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</si>
  <si>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</si>
  <si>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</si>
  <si>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</si>
  <si>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</si>
  <si>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</si>
  <si>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</si>
  <si>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</si>
  <si>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</si>
  <si>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</si>
  <si>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</si>
  <si>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</si>
  <si>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</si>
  <si>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</si>
  <si>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</si>
  <si>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</si>
  <si>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</si>
  <si>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</si>
  <si>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</si>
  <si>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</si>
  <si>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</si>
  <si>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</si>
  <si>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</si>
  <si>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</si>
  <si>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</si>
  <si>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</si>
  <si>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</si>
  <si>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</si>
  <si>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</si>
  <si>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</si>
  <si>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</si>
  <si>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</si>
  <si>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</si>
  <si>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</si>
  <si>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</si>
  <si>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</si>
  <si>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</si>
  <si>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</si>
  <si>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</si>
  <si>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</si>
  <si>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</si>
  <si>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</si>
  <si>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</si>
  <si>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</si>
  <si>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</si>
  <si>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</si>
  <si>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</si>
  <si>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</si>
  <si>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</si>
  <si>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</si>
  <si>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</si>
  <si>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</si>
  <si>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</si>
  <si>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</si>
  <si>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</si>
  <si>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</si>
  <si>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</si>
  <si>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</si>
  <si>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</si>
  <si>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</si>
  <si>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</si>
  <si>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</si>
  <si>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</si>
  <si>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</si>
  <si>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</si>
  <si>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</si>
  <si>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</si>
  <si>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</si>
  <si>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</si>
  <si>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</si>
  <si>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</si>
  <si>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</si>
  <si>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</si>
  <si>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</si>
  <si>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</si>
  <si>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</si>
  <si>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</si>
  <si>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</si>
  <si>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</si>
  <si>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</si>
  <si>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</si>
  <si>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</si>
  <si>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</si>
  <si>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</si>
  <si>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</si>
  <si>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</si>
  <si>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</si>
  <si>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</si>
  <si>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</si>
  <si>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</si>
  <si>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</si>
  <si>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</si>
  <si>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</si>
  <si>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</si>
  <si>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</si>
  <si>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</si>
  <si>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</si>
  <si>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</si>
  <si>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</si>
  <si>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</si>
  <si>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</si>
  <si>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</si>
  <si>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</si>
  <si>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</si>
  <si>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</si>
  <si>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</si>
  <si>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</si>
  <si>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</si>
  <si>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</si>
  <si>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</si>
  <si>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</si>
  <si>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</si>
  <si>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</si>
  <si>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</si>
  <si>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</si>
  <si>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</si>
  <si>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</si>
  <si>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</si>
  <si>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</si>
  <si>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</si>
  <si>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</si>
  <si>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</si>
  <si>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</si>
  <si>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</si>
  <si>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</si>
  <si>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</si>
  <si>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</si>
  <si>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</si>
  <si>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</si>
  <si>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</si>
  <si>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</si>
  <si>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</si>
  <si>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</si>
  <si>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</si>
  <si>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</si>
  <si>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</si>
  <si>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</si>
  <si>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</si>
  <si>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</si>
  <si>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</si>
  <si>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</si>
  <si>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</si>
  <si>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</si>
  <si>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</si>
  <si>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</si>
  <si>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</si>
  <si>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</si>
  <si>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</si>
  <si>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</si>
  <si>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</si>
  <si>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</si>
  <si>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</si>
  <si>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</si>
  <si>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</si>
  <si>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</si>
  <si>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</si>
  <si>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</si>
  <si>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</si>
  <si>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</si>
  <si>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</si>
  <si>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</si>
  <si>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</si>
  <si>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</si>
  <si>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</si>
  <si>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</si>
  <si>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</si>
  <si>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</si>
  <si>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</si>
  <si>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</si>
  <si>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</si>
  <si>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</si>
  <si>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</si>
  <si>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</si>
  <si>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</si>
  <si>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</si>
  <si>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</si>
  <si>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</si>
  <si>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</si>
  <si>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</si>
  <si>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</si>
  <si>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</si>
  <si>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</si>
  <si>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</si>
  <si>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</si>
  <si>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</si>
  <si>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</si>
  <si>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</si>
  <si>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</si>
  <si>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</si>
  <si>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</si>
  <si>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</si>
  <si>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</si>
  <si>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</si>
  <si>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</si>
  <si>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</si>
  <si>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</si>
  <si>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</si>
  <si>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</si>
  <si>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</si>
  <si>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</si>
  <si>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</si>
  <si>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</si>
  <si>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</si>
  <si>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</si>
  <si>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</si>
  <si>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</si>
  <si>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</si>
  <si>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</si>
  <si>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</si>
  <si>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</si>
  <si>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</si>
  <si>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</si>
  <si>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</si>
  <si>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</si>
  <si>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</si>
  <si>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</si>
  <si>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</si>
  <si>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</si>
  <si>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</si>
  <si>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</si>
  <si>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</si>
  <si>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</si>
  <si>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</si>
  <si>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</si>
  <si>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</si>
  <si>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</si>
  <si>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</si>
  <si>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</si>
  <si>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</si>
  <si>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</si>
  <si>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</si>
  <si>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</si>
  <si>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</si>
  <si>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</si>
  <si>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</si>
  <si>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</si>
  <si>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</si>
  <si>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</si>
  <si>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</si>
  <si>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</si>
  <si>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</si>
  <si>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</si>
  <si>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</si>
  <si>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</si>
  <si>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</si>
  <si>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</si>
  <si>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</si>
  <si>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</si>
  <si>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</si>
  <si>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</si>
  <si>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</si>
  <si>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</si>
  <si>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</si>
  <si>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</si>
  <si>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</si>
  <si>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</si>
  <si>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</si>
  <si>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</si>
  <si>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</si>
  <si>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</si>
  <si>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</si>
  <si>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</si>
  <si>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</si>
  <si>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</si>
  <si>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</si>
  <si>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</si>
  <si>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</si>
  <si>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</si>
  <si>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</si>
  <si>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</si>
  <si>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</si>
  <si>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</si>
  <si>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</si>
  <si>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</si>
  <si>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</si>
  <si>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</si>
  <si>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</si>
  <si>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</si>
  <si>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</si>
  <si>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</si>
  <si>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</si>
  <si>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</si>
  <si>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</si>
  <si>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</si>
  <si>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</si>
  <si>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</si>
  <si>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</si>
  <si>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</si>
  <si>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</si>
  <si>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</si>
  <si>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</si>
  <si>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</si>
  <si>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</si>
  <si>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</si>
  <si>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</si>
  <si>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</si>
  <si>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</si>
  <si>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</si>
  <si>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</si>
  <si>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</si>
  <si>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</si>
  <si>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</si>
  <si>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</si>
  <si>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</si>
  <si>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</si>
  <si>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</si>
  <si>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</si>
  <si>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</si>
  <si>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</si>
  <si>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</si>
  <si>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</si>
  <si>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</si>
  <si>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</si>
  <si>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</si>
  <si>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</si>
  <si>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</si>
  <si>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</si>
  <si>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</si>
  <si>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</si>
  <si>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</si>
  <si>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</si>
  <si>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</si>
  <si>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</si>
  <si>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</si>
  <si>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</si>
  <si>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</si>
  <si>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</si>
  <si>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</si>
  <si>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</si>
  <si>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</si>
  <si>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</si>
  <si>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</si>
  <si>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</si>
  <si>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</si>
  <si>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</si>
  <si>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</si>
  <si>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</si>
  <si>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</si>
  <si>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</si>
  <si>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</si>
  <si>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</si>
  <si>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</si>
  <si>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</si>
  <si>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</si>
  <si>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</si>
  <si>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</si>
  <si>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</si>
  <si>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</si>
  <si>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</si>
  <si>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</si>
  <si>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</si>
  <si>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</si>
  <si>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</si>
  <si>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</si>
  <si>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</si>
  <si>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</si>
  <si>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</si>
  <si>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</si>
  <si>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</si>
  <si>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</si>
  <si>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</si>
  <si>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</si>
  <si>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</si>
  <si>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</si>
  <si>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</si>
  <si>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</si>
  <si>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</si>
  <si>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</si>
  <si>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</si>
  <si>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</si>
  <si>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</si>
  <si>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</si>
  <si>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</si>
  <si>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</si>
  <si>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</si>
  <si>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</si>
  <si>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</si>
  <si>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</si>
  <si>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</si>
  <si>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</si>
  <si>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</si>
  <si>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</si>
  <si>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</si>
  <si>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</si>
  <si>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</si>
  <si>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</si>
  <si>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</si>
  <si>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</si>
  <si>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</si>
  <si>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</si>
  <si>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</si>
  <si>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</si>
  <si>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</si>
  <si>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</si>
  <si>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</si>
  <si>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</si>
  <si>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</si>
  <si>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</si>
  <si>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</si>
  <si>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</si>
  <si>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</si>
  <si>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</si>
  <si>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</si>
  <si>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</si>
  <si>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</si>
  <si>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</si>
  <si>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</si>
  <si>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</si>
  <si>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</si>
  <si>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</si>
  <si>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</si>
  <si>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</si>
  <si>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</si>
  <si>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</si>
  <si>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</si>
  <si>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</si>
  <si>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</si>
  <si>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</si>
  <si>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</si>
  <si>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</si>
  <si>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</si>
  <si>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</si>
  <si>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</si>
  <si>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</si>
  <si>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</si>
  <si>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</si>
  <si>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</si>
  <si>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</si>
  <si>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</si>
  <si>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</si>
  <si>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</si>
  <si>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</si>
  <si>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</si>
  <si>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</si>
  <si>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</si>
  <si>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</si>
  <si>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</si>
  <si>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</si>
  <si>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</si>
  <si>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</si>
  <si>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</si>
  <si>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</si>
  <si>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</si>
  <si>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</si>
  <si>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</si>
  <si>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</si>
  <si>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</si>
  <si>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</si>
  <si>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</si>
  <si>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</si>
  <si>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</si>
  <si>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</si>
  <si>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</si>
  <si>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</si>
  <si>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</si>
  <si>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</si>
  <si>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</si>
  <si>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</si>
  <si>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</si>
  <si>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</si>
  <si>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</si>
  <si>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</si>
  <si>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</si>
  <si>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</si>
  <si>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</si>
  <si>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</si>
  <si>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</si>
  <si>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</si>
  <si>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</si>
  <si>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</si>
  <si>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</si>
  <si>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</si>
  <si>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</si>
  <si>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</si>
  <si>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</si>
  <si>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</si>
  <si>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</si>
  <si>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</si>
  <si>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</si>
  <si>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</si>
  <si>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</si>
  <si>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</si>
  <si>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</si>
  <si>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</si>
  <si>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</si>
  <si>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</si>
  <si>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</si>
  <si>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</si>
  <si>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</si>
  <si>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</si>
  <si>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</si>
  <si>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</si>
  <si>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</si>
  <si>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</si>
  <si>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</si>
  <si>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</si>
  <si>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</si>
  <si>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</si>
  <si>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</si>
  <si>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</si>
  <si>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</si>
  <si>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</si>
  <si>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</si>
  <si>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</si>
  <si>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</si>
  <si>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</si>
  <si>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</si>
  <si>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</si>
  <si>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</si>
  <si>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</si>
  <si>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</si>
  <si>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</si>
  <si>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</si>
  <si>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</si>
  <si>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</si>
  <si>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</si>
  <si>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</si>
  <si>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</si>
  <si>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</si>
  <si>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</si>
  <si>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</si>
  <si>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</si>
  <si>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</si>
  <si>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</si>
  <si>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</si>
  <si>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</si>
  <si>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</si>
  <si>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</si>
  <si>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</si>
  <si>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</si>
  <si>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</si>
  <si>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</si>
  <si>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</si>
  <si>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</si>
  <si>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</si>
  <si>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</si>
  <si>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</si>
  <si>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</si>
  <si>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</si>
  <si>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</si>
  <si>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</si>
  <si>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</si>
  <si>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</si>
  <si>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</si>
  <si>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</si>
  <si>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</si>
  <si>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</si>
  <si>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</si>
  <si>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</si>
  <si>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</si>
  <si>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</si>
  <si>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</si>
  <si>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</si>
  <si>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</si>
  <si>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</si>
  <si>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</si>
  <si>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</si>
  <si>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</si>
  <si>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</si>
  <si>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</si>
  <si>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</si>
  <si>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</si>
  <si>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</si>
  <si>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</si>
  <si>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</si>
  <si>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</si>
  <si>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</si>
  <si>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</si>
  <si>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</si>
  <si>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</si>
  <si>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</si>
  <si>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</si>
  <si>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</si>
  <si>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</si>
  <si>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</si>
  <si>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</si>
  <si>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</si>
  <si>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</si>
  <si>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</si>
  <si>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</si>
  <si>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</si>
  <si>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</si>
  <si>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</si>
  <si>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</si>
  <si>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</si>
  <si>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</si>
  <si>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</si>
  <si>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</si>
  <si>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</si>
  <si>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</si>
  <si>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</si>
  <si>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</si>
  <si>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</si>
  <si>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</si>
  <si>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</si>
  <si>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</si>
  <si>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</si>
  <si>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</si>
  <si>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</si>
  <si>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</si>
  <si>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</si>
  <si>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</si>
  <si>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</si>
  <si>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</si>
  <si>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</si>
  <si>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</si>
  <si>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</si>
  <si>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</si>
  <si>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</si>
  <si>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</si>
  <si>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</si>
  <si>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</si>
  <si>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</si>
  <si>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</si>
  <si>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</si>
  <si>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</si>
  <si>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</si>
  <si>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</si>
  <si>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</si>
  <si>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</si>
  <si>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</si>
  <si>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</si>
  <si>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</si>
  <si>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</si>
  <si>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</si>
  <si>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</si>
  <si>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</si>
  <si>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</si>
  <si>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</si>
  <si>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</si>
  <si>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</si>
  <si>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</si>
  <si>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</si>
  <si>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</si>
  <si>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</si>
  <si>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</si>
  <si>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</si>
  <si>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</si>
  <si>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</si>
  <si>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</si>
  <si>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</si>
  <si>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</si>
  <si>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</si>
  <si>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</si>
  <si>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</si>
  <si>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</si>
  <si>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</si>
  <si>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</si>
  <si>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</si>
  <si>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</si>
  <si>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</si>
  <si>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</si>
  <si>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</si>
  <si>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</si>
  <si>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</si>
  <si>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</si>
  <si>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</si>
  <si>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</si>
  <si>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</si>
  <si>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</si>
  <si>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</si>
  <si>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</si>
  <si>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</si>
  <si>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</si>
  <si>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</si>
  <si>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</si>
  <si>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</si>
  <si>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</si>
  <si>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</si>
  <si>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</si>
  <si>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</si>
  <si>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</si>
  <si>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</si>
  <si>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</si>
  <si>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</si>
  <si>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</si>
  <si>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</si>
  <si>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</si>
  <si>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</si>
  <si>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</si>
  <si>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</si>
  <si>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</si>
  <si>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</si>
  <si>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</si>
  <si>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</si>
  <si>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</si>
  <si>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</si>
  <si>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</si>
  <si>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</si>
  <si>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</si>
  <si>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</si>
  <si>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</si>
  <si>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</si>
  <si>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</si>
  <si>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</si>
  <si>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</si>
  <si>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</si>
  <si>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</si>
  <si>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</si>
  <si>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</si>
  <si>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</si>
  <si>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</si>
  <si>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</si>
  <si>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</si>
  <si>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</si>
  <si>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</si>
  <si>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</si>
  <si>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</si>
  <si>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</si>
  <si>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</si>
  <si>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</si>
  <si>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</si>
  <si>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</si>
  <si>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</si>
  <si>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</si>
  <si>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</si>
  <si>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</si>
  <si>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</si>
  <si>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</si>
  <si>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</si>
  <si>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</si>
  <si>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</si>
  <si>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</si>
  <si>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</si>
  <si>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</si>
  <si>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</si>
  <si>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</si>
  <si>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</si>
  <si>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</si>
  <si>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</si>
  <si>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</si>
  <si>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</si>
  <si>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</si>
  <si>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</si>
  <si>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</si>
  <si>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</si>
  <si>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</si>
  <si>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</si>
  <si>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</si>
  <si>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</si>
  <si>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</si>
  <si>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</si>
  <si>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</si>
  <si>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</si>
  <si>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</si>
  <si>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</si>
  <si>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</si>
  <si>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</si>
  <si>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</si>
  <si>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</si>
  <si>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</si>
  <si>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</si>
  <si>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</si>
  <si>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</si>
  <si>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</si>
  <si>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</si>
  <si>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</si>
  <si>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</si>
  <si>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</si>
  <si>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</si>
  <si>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</si>
  <si>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</si>
  <si>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</si>
  <si>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</si>
  <si>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</si>
  <si>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</si>
  <si>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</si>
  <si>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</si>
  <si>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</si>
  <si>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</si>
  <si>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</si>
  <si>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</si>
  <si>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</si>
  <si>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</si>
  <si>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</si>
  <si>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</si>
  <si>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</si>
  <si>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</si>
  <si>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</si>
  <si>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</si>
  <si>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</si>
  <si>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</si>
  <si>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</si>
  <si>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</si>
  <si>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</si>
  <si>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</si>
  <si>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</si>
  <si>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</si>
  <si>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</si>
  <si>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</si>
  <si>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</si>
  <si>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</si>
  <si>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</si>
  <si>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</si>
  <si>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</si>
  <si>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</si>
  <si>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</si>
  <si>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</si>
  <si>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</si>
  <si>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</si>
  <si>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</si>
  <si>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</si>
  <si>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</si>
  <si>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</si>
  <si>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</si>
  <si>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</si>
  <si>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</si>
  <si>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</si>
  <si>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</si>
  <si>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</si>
  <si>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</si>
  <si>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</si>
  <si>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</si>
  <si>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</si>
  <si>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</si>
  <si>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</si>
  <si>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</si>
  <si>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</si>
  <si>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</si>
  <si>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</si>
  <si>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</si>
  <si>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</si>
  <si>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</si>
  <si>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</si>
  <si>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</si>
  <si>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</si>
  <si>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</si>
  <si>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</si>
  <si>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</si>
  <si>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</si>
  <si>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</si>
  <si>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</si>
  <si>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</si>
  <si>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</si>
  <si>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</si>
  <si>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</si>
  <si>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</si>
  <si>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</si>
  <si>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</si>
  <si>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</si>
  <si>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</si>
  <si>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</si>
  <si>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</si>
  <si>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</si>
  <si>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</si>
  <si>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</si>
  <si>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</si>
  <si>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</si>
  <si>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</si>
  <si>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</si>
  <si>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</si>
  <si>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</si>
  <si>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</si>
  <si>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</si>
  <si>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</si>
  <si>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</si>
  <si>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</si>
  <si>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</si>
  <si>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</si>
  <si>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</si>
  <si>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</si>
  <si>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</si>
  <si>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</si>
  <si>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</si>
  <si>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</si>
  <si>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</si>
  <si>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</si>
  <si>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</si>
  <si>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</si>
  <si>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</si>
  <si>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</si>
  <si>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</si>
  <si>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</si>
  <si>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</si>
  <si>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</si>
  <si>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</si>
  <si>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</si>
  <si>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</si>
  <si>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</si>
  <si>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</si>
  <si>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</si>
  <si>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</si>
  <si>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</si>
  <si>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</si>
  <si>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</si>
  <si>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</si>
  <si>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</si>
  <si>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</si>
  <si>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</si>
  <si>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</si>
  <si>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</si>
  <si>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</si>
  <si>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</si>
  <si>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</si>
  <si>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</si>
  <si>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</si>
  <si>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</si>
  <si>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</si>
  <si>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</si>
  <si>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</si>
  <si>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</si>
  <si>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</si>
  <si>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</si>
  <si>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</si>
  <si>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</si>
  <si>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</si>
  <si>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</si>
  <si>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</si>
  <si>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</si>
  <si>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</si>
  <si>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</si>
  <si>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</si>
  <si>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</si>
  <si>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</si>
  <si>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</si>
  <si>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</si>
  <si>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</si>
  <si>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</si>
  <si>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</si>
  <si>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</si>
  <si>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</si>
  <si>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</si>
  <si>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</si>
  <si>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</si>
  <si>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</si>
  <si>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</si>
  <si>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</si>
  <si>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</si>
  <si>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</si>
  <si>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</si>
  <si>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</si>
  <si>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</si>
  <si>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</si>
  <si>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</si>
  <si>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</si>
  <si>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</si>
  <si>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</si>
  <si>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</si>
  <si>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</si>
  <si>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</si>
  <si>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</si>
  <si>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</si>
  <si>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</si>
  <si>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</si>
  <si>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</si>
  <si>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</si>
  <si>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</si>
  <si>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</si>
  <si>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</si>
  <si>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</si>
  <si>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</si>
  <si>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</si>
  <si>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</si>
  <si>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</si>
  <si>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</si>
  <si>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</si>
  <si>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</si>
  <si>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</si>
  <si>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</si>
  <si>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</si>
  <si>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</si>
  <si>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</si>
  <si>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</si>
  <si>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</si>
  <si>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</si>
  <si>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</si>
  <si>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</si>
  <si>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</si>
  <si>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</si>
  <si>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</si>
  <si>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</si>
  <si>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</si>
  <si>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</si>
  <si>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</si>
  <si>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</si>
  <si>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</si>
  <si>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</si>
  <si>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</si>
  <si>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</si>
  <si>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</si>
  <si>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</si>
  <si>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</si>
  <si>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</si>
  <si>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</si>
  <si>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</si>
  <si>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</si>
  <si>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</si>
  <si>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</si>
  <si>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</si>
  <si>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</si>
  <si>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</si>
  <si>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</si>
  <si>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</si>
  <si>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</si>
  <si>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</si>
  <si>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</si>
  <si>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</si>
  <si>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</si>
  <si>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</si>
  <si>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</si>
  <si>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</si>
  <si>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</si>
  <si>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</si>
  <si>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</si>
  <si>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</si>
  <si>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</si>
  <si>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</si>
  <si>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</si>
  <si>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</si>
  <si>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</si>
  <si>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</si>
  <si>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</si>
  <si>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</si>
  <si>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</si>
  <si>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</si>
  <si>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</si>
  <si>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</si>
  <si>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</si>
  <si>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</si>
  <si>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</si>
  <si>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</si>
  <si>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</si>
  <si>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</si>
  <si>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</si>
  <si>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</si>
  <si>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</si>
  <si>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</si>
  <si>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</si>
  <si>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</si>
  <si>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</si>
  <si>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</si>
  <si>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</si>
  <si>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</si>
  <si>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</si>
  <si>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</si>
  <si>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</si>
  <si>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</si>
  <si>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</si>
  <si>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</si>
  <si>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</si>
  <si>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</si>
  <si>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</si>
  <si>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</si>
  <si>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</si>
  <si>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</si>
  <si>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</si>
  <si>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</si>
  <si>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</si>
  <si>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</si>
  <si>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</si>
  <si>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</si>
  <si>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</si>
  <si>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</si>
  <si>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</si>
  <si>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</si>
  <si>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</si>
  <si>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</si>
  <si>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</si>
  <si>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</si>
  <si>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</si>
  <si>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</si>
  <si>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</si>
  <si>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</si>
  <si>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</si>
  <si>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</si>
  <si>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</si>
  <si>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</si>
  <si>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</si>
  <si>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</si>
  <si>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</si>
  <si>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</si>
  <si>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</si>
  <si>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</si>
  <si>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</si>
  <si>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</si>
  <si>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</si>
  <si>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</si>
  <si>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</si>
  <si>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</si>
  <si>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</si>
  <si>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</si>
  <si>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</si>
  <si>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</si>
  <si>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</si>
  <si>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</si>
  <si>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</si>
  <si>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</si>
  <si>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</si>
  <si>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</si>
  <si>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</si>
  <si>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</si>
  <si>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</si>
  <si>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</si>
  <si>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</si>
  <si>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</si>
  <si>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</si>
  <si>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</si>
  <si>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</si>
  <si>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</si>
  <si>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</si>
  <si>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</si>
  <si>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</si>
  <si>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</si>
  <si>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</si>
  <si>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</si>
  <si>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</si>
  <si>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</si>
  <si>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</si>
  <si>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</si>
  <si>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</si>
  <si>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</si>
  <si>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</si>
  <si>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</si>
  <si>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</si>
  <si>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</si>
  <si>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</si>
  <si>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</si>
  <si>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</si>
  <si>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</si>
  <si>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</si>
  <si>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</si>
  <si>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</si>
  <si>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</si>
  <si>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</si>
  <si>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</si>
  <si>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</si>
  <si>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</si>
  <si>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</si>
  <si>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</si>
  <si>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</si>
  <si>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</si>
  <si>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</si>
  <si>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</si>
  <si>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</si>
  <si>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</si>
  <si>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</si>
  <si>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</si>
  <si>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</si>
  <si>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</si>
  <si>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</si>
  <si>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</si>
  <si>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</si>
  <si>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</si>
  <si>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</si>
  <si>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</si>
  <si>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</si>
  <si>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</si>
  <si>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</si>
  <si>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</si>
  <si>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</si>
  <si>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</si>
  <si>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</si>
  <si>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</si>
  <si>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</si>
  <si>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</si>
  <si>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</si>
  <si>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</si>
  <si>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</si>
  <si>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</si>
  <si>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</si>
  <si>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</si>
  <si>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</si>
  <si>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</si>
  <si>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</si>
  <si>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</si>
  <si>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</si>
  <si>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</si>
  <si>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</si>
  <si>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</si>
  <si>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</si>
  <si>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</si>
  <si>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</si>
  <si>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</si>
  <si>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</si>
  <si>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</si>
  <si>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</si>
  <si>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</si>
  <si>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</si>
  <si>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</si>
  <si>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</si>
  <si>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</si>
  <si>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</si>
  <si>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</si>
  <si>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</si>
  <si>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</si>
  <si>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</si>
  <si>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</si>
  <si>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</si>
  <si>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</si>
  <si>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</si>
  <si>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</si>
  <si>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</si>
  <si>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</si>
  <si>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</si>
  <si>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</si>
  <si>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</si>
  <si>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</si>
  <si>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</si>
  <si>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</si>
  <si>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</si>
  <si>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</si>
  <si>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</si>
  <si>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</si>
  <si>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</si>
  <si>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</si>
  <si>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</si>
  <si>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</si>
  <si>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</si>
  <si>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</si>
  <si>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</si>
  <si>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</si>
  <si>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</si>
  <si>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</si>
  <si>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</si>
  <si>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</si>
  <si>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</si>
  <si>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</si>
  <si>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</si>
  <si>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</si>
  <si>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</si>
  <si>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</si>
  <si>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</si>
  <si>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</si>
  <si>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</si>
  <si>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</si>
  <si>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</si>
  <si>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</si>
  <si>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</si>
  <si>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</si>
  <si>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</si>
  <si>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</si>
  <si>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</si>
  <si>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</si>
  <si>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</si>
  <si>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</si>
  <si>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</si>
  <si>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</si>
  <si>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</si>
  <si>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</si>
  <si>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</si>
  <si>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</si>
  <si>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</si>
  <si>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</si>
  <si>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</si>
  <si>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</si>
  <si>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</si>
  <si>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</si>
  <si>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</si>
  <si>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</si>
  <si>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</si>
  <si>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</si>
  <si>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</si>
  <si>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</si>
  <si>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</si>
  <si>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</si>
  <si>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</si>
  <si>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</si>
  <si>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</si>
  <si>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</si>
  <si>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</si>
  <si>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</si>
  <si>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</si>
  <si>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</si>
  <si>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</si>
  <si>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</si>
  <si>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</si>
  <si>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</si>
  <si>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</si>
  <si>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</si>
  <si>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</si>
  <si>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</si>
  <si>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</si>
  <si>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</si>
  <si>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</si>
  <si>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</si>
  <si>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</si>
  <si>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</si>
  <si>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</si>
  <si>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</si>
  <si>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</si>
  <si>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</si>
  <si>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</si>
  <si>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</si>
  <si>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</si>
  <si>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</si>
  <si>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</si>
  <si>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</si>
  <si>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</si>
  <si>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</si>
  <si>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</si>
  <si>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</si>
  <si>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</si>
  <si>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</si>
  <si>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</si>
  <si>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</si>
  <si>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</si>
  <si>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</si>
  <si>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</si>
  <si>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</si>
  <si>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</si>
  <si>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</si>
  <si>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</si>
  <si>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</si>
  <si>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</si>
  <si>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</si>
  <si>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</si>
  <si>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</si>
  <si>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</si>
  <si>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</si>
  <si>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</si>
  <si>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</si>
  <si>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</si>
  <si>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</si>
  <si>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</si>
  <si>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</si>
  <si>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</si>
  <si>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</si>
  <si>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</si>
  <si>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</si>
  <si>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</si>
  <si>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</si>
  <si>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</si>
  <si>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</si>
  <si>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</si>
  <si>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</si>
  <si>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</si>
  <si>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</si>
  <si>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</si>
  <si>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</si>
  <si>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</si>
  <si>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</si>
  <si>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</si>
  <si>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</si>
  <si>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</si>
  <si>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</si>
  <si>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</si>
  <si>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</si>
  <si>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</si>
  <si>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</si>
  <si>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</si>
  <si>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</si>
  <si>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</si>
  <si>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</si>
  <si>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</si>
  <si>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</si>
  <si>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</si>
  <si>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</si>
  <si>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</si>
  <si>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</si>
  <si>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</si>
  <si>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</si>
  <si>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</si>
  <si>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</si>
  <si>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</si>
  <si>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</si>
  <si>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</si>
  <si>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</si>
  <si>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</si>
  <si>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</si>
  <si>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</si>
  <si>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</si>
  <si>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</si>
  <si>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</si>
  <si>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</si>
  <si>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</si>
  <si>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</si>
  <si>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</si>
  <si>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</si>
  <si>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</si>
  <si>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</si>
  <si>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</si>
  <si>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</si>
  <si>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</si>
  <si>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</si>
  <si>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</si>
  <si>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</si>
  <si>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</si>
  <si>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</si>
  <si>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</si>
  <si>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</si>
  <si>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</si>
  <si>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</si>
  <si>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</si>
  <si>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</si>
  <si>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</si>
  <si>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</si>
  <si>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</si>
  <si>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</si>
  <si>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</si>
  <si>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</si>
  <si>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</si>
  <si>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</si>
  <si>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</si>
  <si>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</si>
  <si>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</si>
  <si>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</si>
  <si>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</si>
  <si>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</si>
  <si>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</si>
  <si>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</si>
  <si>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</si>
  <si>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</si>
  <si>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</si>
  <si>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</si>
  <si>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</si>
  <si>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</si>
  <si>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</si>
  <si>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</si>
  <si>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</si>
  <si>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</si>
  <si>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</si>
  <si>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</si>
  <si>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</si>
  <si>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</si>
  <si>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</si>
  <si>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</si>
  <si>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</si>
  <si>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</si>
  <si>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</si>
  <si>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</si>
  <si>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</si>
  <si>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</si>
  <si>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</si>
  <si>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</si>
  <si>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</si>
  <si>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</si>
  <si>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</si>
  <si>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</si>
  <si>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</si>
  <si>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</si>
  <si>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</si>
  <si>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</si>
  <si>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</si>
  <si>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</si>
  <si>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</si>
  <si>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</si>
  <si>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</si>
  <si>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</si>
  <si>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</si>
  <si>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</si>
  <si>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</si>
  <si>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</si>
  <si>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</si>
  <si>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</si>
  <si>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</si>
  <si>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</si>
  <si>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</si>
  <si>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</si>
  <si>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</si>
  <si>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</si>
  <si>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</si>
  <si>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</si>
  <si>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</si>
  <si>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</si>
  <si>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</si>
  <si>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</si>
  <si>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</si>
  <si>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</si>
  <si>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</si>
  <si>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</si>
  <si>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</si>
  <si>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</si>
  <si>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</si>
  <si>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</si>
  <si>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</si>
  <si>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</si>
  <si>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</si>
  <si>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</si>
  <si>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</si>
  <si>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</si>
  <si>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</si>
  <si>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</si>
  <si>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</si>
  <si>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</si>
  <si>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</si>
  <si>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</si>
  <si>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</si>
  <si>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</si>
  <si>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</si>
  <si>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</si>
  <si>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</si>
  <si>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</si>
  <si>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</si>
  <si>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</si>
  <si>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</si>
  <si>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</si>
  <si>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</si>
  <si>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</si>
  <si>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</si>
  <si>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</si>
  <si>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</si>
  <si>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</si>
  <si>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</si>
  <si>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</si>
  <si>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</si>
  <si>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</si>
  <si>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</si>
  <si>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</si>
  <si>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</si>
  <si>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</si>
  <si>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</si>
  <si>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</si>
  <si>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</si>
  <si>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</si>
  <si>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</si>
  <si>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</si>
  <si>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</si>
  <si>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</si>
  <si>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</si>
  <si>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</si>
  <si>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</si>
  <si>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</si>
  <si>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</si>
  <si>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</si>
  <si>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</si>
  <si>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</si>
  <si>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</si>
  <si>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</si>
  <si>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</si>
  <si>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</si>
  <si>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</si>
  <si>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</si>
  <si>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</si>
  <si>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</si>
  <si>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</si>
  <si>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</si>
  <si>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</si>
  <si>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</si>
  <si>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</si>
  <si>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</si>
  <si>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</si>
  <si>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</si>
  <si>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</si>
  <si>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</si>
  <si>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</si>
  <si>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</si>
  <si>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</si>
  <si>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</si>
  <si>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</si>
  <si>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</si>
  <si>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</si>
  <si>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</si>
  <si>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</si>
  <si>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</si>
  <si>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</si>
  <si>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</si>
  <si>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</si>
  <si>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</si>
  <si>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</si>
  <si>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</si>
  <si>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</si>
  <si>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</si>
  <si>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</si>
  <si>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</si>
  <si>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</si>
  <si>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</si>
  <si>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</si>
  <si>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</si>
  <si>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</si>
  <si>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</si>
  <si>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</si>
  <si>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</si>
  <si>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</si>
  <si>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</si>
  <si>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</si>
  <si>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</si>
  <si>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</si>
  <si>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</si>
  <si>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</si>
  <si>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</si>
  <si>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</si>
  <si>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</si>
  <si>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</si>
  <si>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</si>
  <si>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</si>
  <si>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</si>
  <si>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</si>
  <si>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</si>
  <si>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</si>
  <si>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</si>
  <si>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</si>
  <si>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</si>
  <si>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</si>
  <si>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</si>
  <si>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</si>
  <si>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</si>
  <si>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</si>
  <si>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</si>
  <si>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</si>
  <si>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</si>
  <si>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</si>
  <si>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</si>
  <si>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</si>
  <si>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</si>
  <si>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</si>
  <si>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</si>
  <si>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</si>
  <si>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</si>
  <si>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</si>
  <si>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</si>
  <si>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</si>
  <si>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</si>
  <si>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</si>
  <si>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</si>
  <si>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</si>
  <si>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</si>
  <si>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</si>
  <si>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</si>
  <si>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</si>
  <si>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</si>
  <si>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</si>
  <si>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</si>
  <si>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</si>
  <si>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</si>
  <si>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</si>
  <si>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</si>
  <si>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</si>
  <si>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</si>
  <si>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</si>
  <si>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</si>
  <si>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</si>
  <si>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</si>
  <si>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</si>
  <si>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</si>
  <si>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</si>
  <si>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</si>
  <si>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</si>
  <si>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</si>
  <si>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</si>
  <si>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</si>
  <si>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</si>
  <si>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</si>
  <si>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</si>
  <si>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</si>
  <si>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</si>
  <si>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</si>
  <si>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</si>
  <si>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</si>
  <si>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</si>
  <si>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</si>
  <si>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</si>
  <si>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</si>
  <si>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</si>
  <si>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</si>
  <si>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</si>
  <si>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</si>
  <si>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</si>
  <si>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</si>
  <si>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</si>
  <si>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</si>
  <si>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</si>
  <si>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</si>
  <si>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</si>
  <si>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</si>
  <si>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</si>
  <si>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</si>
  <si>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</si>
  <si>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</si>
  <si>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</si>
  <si>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</si>
  <si>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</si>
  <si>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</si>
  <si>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</si>
  <si>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</si>
  <si>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</si>
  <si>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</si>
  <si>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</si>
  <si>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</si>
  <si>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</si>
  <si>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</si>
  <si>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</si>
  <si>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</si>
  <si>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</si>
  <si>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</si>
  <si>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</si>
  <si>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</si>
  <si>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</si>
  <si>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</si>
  <si>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</si>
  <si>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</si>
  <si>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</si>
  <si>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</si>
  <si>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</si>
  <si>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</si>
  <si>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</si>
  <si>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</si>
  <si>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</si>
  <si>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</si>
  <si>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</si>
  <si>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</si>
  <si>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</si>
  <si>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</si>
  <si>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</si>
  <si>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</si>
  <si>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</si>
  <si>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</si>
  <si>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</si>
  <si>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</si>
  <si>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</si>
  <si>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</si>
  <si>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</si>
  <si>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</si>
  <si>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</si>
  <si>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</si>
  <si>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</si>
  <si>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</si>
  <si>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</si>
  <si>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</si>
  <si>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</si>
  <si>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</si>
  <si>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</si>
  <si>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</si>
  <si>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</si>
  <si>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</si>
  <si>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</si>
  <si>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</si>
  <si>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</si>
  <si>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</si>
  <si>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</si>
  <si>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</si>
  <si>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</si>
  <si>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</si>
  <si>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</si>
  <si>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</si>
  <si>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</si>
  <si>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</si>
  <si>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</si>
  <si>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</si>
  <si>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</si>
  <si>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</si>
  <si>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</si>
  <si>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</si>
  <si>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</si>
  <si>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</si>
  <si>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</si>
  <si>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</si>
  <si>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</si>
  <si>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</si>
  <si>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</si>
  <si>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</si>
  <si>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</si>
  <si>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</si>
  <si>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</si>
  <si>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</si>
  <si>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</si>
  <si>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</si>
  <si>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</si>
  <si>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</si>
  <si>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</si>
  <si>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</si>
  <si>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</si>
  <si>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</si>
  <si>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</si>
  <si>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</si>
  <si>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</si>
  <si>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</si>
  <si>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</si>
  <si>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</si>
  <si>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</si>
  <si>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</si>
  <si>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</si>
  <si>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</si>
  <si>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</si>
  <si>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</si>
  <si>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</si>
  <si>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</si>
  <si>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</si>
  <si>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</si>
  <si>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</si>
  <si>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</si>
  <si>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</si>
  <si>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</si>
  <si>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</si>
  <si>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</si>
  <si>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</si>
  <si>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</si>
  <si>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</si>
  <si>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</si>
  <si>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</si>
  <si>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</si>
  <si>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</si>
  <si>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</si>
  <si>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</si>
  <si>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</si>
  <si>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</si>
  <si>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</si>
  <si>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</si>
  <si>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</si>
  <si>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</si>
  <si>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</si>
  <si>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</si>
  <si>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</si>
  <si>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</si>
  <si>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</si>
  <si>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</si>
  <si>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</si>
  <si>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</si>
  <si>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</si>
  <si>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</si>
  <si>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</si>
  <si>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</si>
  <si>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</si>
  <si>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</si>
  <si>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</si>
  <si>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</si>
  <si>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</si>
  <si>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</si>
  <si>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</si>
  <si>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</si>
  <si>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</si>
  <si>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</si>
  <si>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</si>
  <si>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</si>
  <si>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</si>
  <si>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</si>
  <si>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</si>
  <si>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</si>
  <si>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</si>
  <si>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</si>
  <si>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</si>
  <si>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</si>
  <si>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</si>
  <si>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</si>
  <si>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</si>
  <si>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</si>
  <si>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</si>
  <si>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</si>
  <si>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</si>
  <si>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</si>
  <si>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</si>
  <si>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</si>
  <si>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</si>
  <si>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</si>
  <si>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</si>
  <si>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</si>
  <si>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</si>
  <si>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</si>
  <si>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</si>
  <si>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</si>
  <si>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</si>
  <si>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</si>
  <si>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</si>
  <si>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</si>
  <si>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</si>
  <si>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</si>
  <si>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</si>
  <si>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</si>
  <si>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</si>
  <si>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</si>
  <si>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</si>
  <si>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</si>
  <si>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</si>
  <si>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</si>
  <si>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</si>
  <si>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</si>
  <si>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</si>
  <si>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</si>
  <si>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</si>
  <si>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</si>
  <si>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</si>
  <si>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</si>
  <si>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</si>
  <si>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</si>
  <si>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</si>
  <si>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</si>
  <si>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</si>
  <si>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</si>
  <si>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</si>
  <si>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</si>
  <si>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</si>
  <si>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</si>
  <si>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</si>
  <si>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</si>
  <si>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</si>
  <si>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</si>
  <si>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</si>
  <si>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</si>
  <si>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</si>
  <si>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</si>
  <si>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</si>
  <si>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</si>
  <si>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</si>
  <si>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</si>
  <si>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</si>
  <si>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</si>
  <si>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</si>
  <si>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</si>
  <si>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</si>
  <si>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</si>
  <si>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</si>
  <si>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</si>
  <si>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</si>
  <si>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</si>
  <si>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</si>
  <si>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</si>
  <si>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</si>
  <si>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</si>
  <si>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</si>
  <si>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</si>
  <si>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</si>
  <si>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</si>
  <si>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</si>
  <si>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</si>
  <si>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</si>
  <si>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</si>
  <si>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</si>
  <si>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</si>
  <si>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</si>
  <si>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</si>
  <si>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</si>
  <si>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</si>
  <si>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</si>
  <si>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</si>
  <si>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</si>
  <si>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</si>
  <si>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</si>
  <si>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</si>
  <si>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</si>
  <si>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</si>
  <si>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</si>
  <si>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</si>
  <si>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</si>
  <si>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</si>
  <si>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</si>
  <si>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</si>
  <si>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</si>
  <si>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</si>
  <si>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</si>
  <si>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</si>
  <si>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</si>
  <si>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</si>
  <si>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</si>
  <si>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</si>
  <si>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</si>
  <si>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</si>
  <si>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</si>
  <si>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</si>
  <si>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</si>
  <si>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</si>
  <si>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</si>
  <si>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</si>
  <si>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</si>
  <si>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</si>
  <si>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</si>
  <si>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</si>
  <si>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</si>
  <si>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</si>
  <si>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</si>
  <si>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</si>
  <si>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</si>
  <si>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</si>
  <si>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</si>
  <si>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</si>
  <si>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</si>
  <si>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</si>
  <si>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</si>
  <si>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</si>
  <si>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</si>
  <si>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</si>
  <si>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</si>
  <si>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</si>
  <si>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</si>
  <si>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</si>
  <si>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</si>
  <si>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</si>
  <si>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</si>
  <si>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</si>
  <si>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</si>
  <si>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</si>
  <si>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</si>
  <si>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</si>
  <si>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</si>
  <si>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</si>
  <si>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</si>
  <si>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</si>
  <si>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</si>
  <si>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</si>
  <si>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</si>
  <si>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</si>
  <si>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</si>
  <si>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</si>
  <si>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</si>
  <si>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</si>
  <si>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</si>
  <si>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</si>
  <si>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</si>
  <si>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</si>
  <si>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</si>
  <si>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</si>
  <si>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</si>
  <si>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</si>
  <si>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</si>
  <si>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</si>
  <si>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</si>
  <si>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</si>
  <si>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</si>
  <si>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</si>
  <si>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</si>
  <si>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</si>
  <si>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</si>
  <si>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</si>
  <si>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</si>
  <si>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</si>
  <si>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</si>
  <si>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</si>
  <si>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</si>
  <si>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</si>
  <si>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</si>
  <si>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</si>
  <si>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</si>
  <si>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</si>
  <si>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</si>
  <si>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</si>
  <si>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</si>
  <si>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</si>
  <si>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</si>
  <si>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</si>
  <si>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</si>
  <si>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</si>
  <si>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</si>
  <si>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</si>
  <si>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</si>
  <si>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</si>
  <si>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</si>
  <si>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</si>
  <si>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</si>
  <si>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</si>
  <si>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</si>
  <si>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</si>
  <si>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</si>
  <si>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</si>
  <si>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</si>
  <si>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</si>
  <si>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</si>
  <si>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</si>
  <si>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</si>
  <si>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</si>
  <si>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</si>
  <si>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</si>
  <si>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</si>
  <si>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</si>
  <si>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</si>
  <si>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</si>
  <si>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</si>
  <si>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</si>
  <si>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</si>
  <si>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</si>
  <si>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</si>
  <si>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</si>
  <si>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</si>
  <si>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</si>
  <si>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</si>
  <si>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</si>
  <si>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</si>
  <si>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</si>
  <si>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</si>
  <si>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</si>
  <si>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</si>
  <si>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</si>
  <si>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</si>
  <si>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</si>
  <si>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</si>
  <si>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</si>
  <si>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</si>
  <si>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</si>
  <si>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</si>
  <si>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</si>
  <si>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</si>
  <si>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</si>
  <si>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</si>
  <si>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</si>
  <si>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</si>
  <si>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</si>
  <si>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</si>
  <si>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</si>
  <si>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</si>
  <si>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</si>
  <si>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</si>
  <si>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</si>
  <si>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</si>
  <si>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</si>
  <si>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</si>
  <si>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</si>
  <si>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</si>
  <si>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</si>
  <si>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</si>
  <si>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</si>
  <si>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</si>
  <si>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</si>
  <si>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</si>
  <si>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</si>
  <si>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</si>
  <si>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</si>
  <si>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</si>
  <si>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</si>
  <si>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</si>
  <si>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</si>
  <si>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</si>
  <si>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</si>
  <si>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</si>
  <si>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</si>
  <si>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</si>
  <si>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</si>
  <si>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</si>
  <si>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</si>
  <si>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</si>
  <si>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</si>
  <si>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</si>
  <si>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</si>
  <si>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</si>
  <si>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</si>
  <si>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</si>
  <si>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</si>
  <si>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</si>
  <si>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</si>
  <si>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</si>
  <si>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</si>
  <si>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</si>
  <si>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</si>
  <si>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</si>
  <si>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</si>
  <si>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</si>
  <si>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</si>
  <si>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</si>
  <si>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</si>
  <si>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</si>
  <si>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</si>
  <si>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</si>
  <si>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</si>
  <si>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</si>
  <si>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</si>
  <si>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</si>
  <si>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</si>
  <si>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</si>
  <si>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</si>
  <si>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</si>
  <si>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</si>
  <si>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</si>
  <si>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</si>
  <si>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</si>
  <si>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</si>
  <si>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</si>
  <si>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</si>
  <si>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</si>
  <si>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</si>
  <si>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</si>
  <si>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</si>
  <si>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</si>
  <si>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</si>
  <si>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</si>
  <si>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</si>
  <si>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</si>
  <si>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</si>
  <si>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</si>
  <si>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</si>
  <si>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</si>
  <si>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</si>
  <si>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</si>
  <si>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</si>
  <si>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</si>
  <si>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</si>
  <si>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</si>
  <si>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</si>
  <si>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</si>
  <si>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</si>
  <si>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</si>
  <si>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</si>
  <si>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</si>
  <si>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</si>
  <si>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</si>
  <si>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</si>
  <si>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</si>
  <si>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</si>
  <si>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</si>
  <si>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</si>
  <si>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</si>
  <si>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</si>
  <si>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</si>
  <si>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</si>
  <si>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</si>
  <si>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</si>
  <si>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</si>
  <si>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</si>
  <si>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</si>
  <si>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</si>
  <si>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</si>
  <si>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</si>
  <si>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</si>
  <si>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</si>
  <si>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</si>
  <si>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</si>
  <si>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</si>
  <si>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</si>
  <si>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</si>
  <si>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</si>
  <si>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</si>
  <si>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</si>
  <si>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</si>
  <si>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</si>
  <si>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</si>
  <si>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</si>
  <si>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</si>
  <si>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</si>
  <si>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</si>
  <si>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</si>
  <si>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</si>
  <si>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</si>
  <si>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</si>
  <si>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</si>
  <si>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</si>
  <si>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</si>
  <si>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</si>
  <si>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</si>
  <si>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</si>
  <si>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</si>
  <si>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</si>
  <si>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</si>
  <si>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</si>
  <si>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</si>
  <si>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</si>
  <si>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</si>
  <si>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</si>
  <si>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</si>
  <si>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</si>
  <si>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</si>
  <si>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</si>
  <si>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</si>
  <si>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</si>
  <si>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</si>
  <si>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</si>
  <si>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</si>
  <si>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</si>
  <si>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</si>
  <si>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</si>
  <si>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</si>
  <si>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</si>
  <si>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</si>
  <si>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</si>
  <si>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</si>
  <si>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</si>
  <si>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</si>
  <si>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</si>
  <si>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</si>
  <si>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</si>
  <si>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</si>
  <si>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</si>
  <si>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</si>
  <si>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</si>
  <si>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</si>
  <si>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</si>
  <si>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</si>
  <si>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</si>
  <si>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</si>
  <si>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</si>
  <si>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</si>
  <si>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</si>
  <si>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</si>
  <si>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</si>
  <si>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</si>
  <si>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</si>
  <si>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</si>
  <si>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</si>
  <si>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</si>
  <si>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</si>
  <si>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</si>
  <si>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</si>
  <si>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</si>
  <si>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</si>
  <si>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</si>
  <si>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</si>
  <si>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</si>
  <si>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</si>
  <si>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</si>
  <si>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</si>
  <si>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</si>
  <si>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</si>
  <si>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</si>
  <si>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</si>
  <si>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</si>
  <si>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</si>
  <si>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</si>
  <si>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</si>
  <si>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</si>
  <si>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</si>
  <si>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</si>
  <si>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</si>
  <si>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</si>
  <si>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</si>
  <si>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</si>
  <si>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</si>
  <si>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</si>
  <si>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</si>
  <si>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</si>
  <si>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</si>
  <si>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</si>
  <si>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</si>
  <si>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</si>
  <si>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</si>
  <si>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</si>
  <si>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</si>
  <si>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</si>
  <si>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</si>
  <si>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</si>
  <si>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</si>
  <si>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</si>
  <si>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</si>
  <si>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</si>
  <si>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</si>
  <si>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</si>
  <si>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</si>
  <si>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</si>
  <si>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</si>
  <si>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</si>
  <si>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</si>
  <si>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</si>
  <si>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</si>
  <si>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</si>
  <si>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</si>
  <si>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</si>
  <si>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</si>
  <si>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</si>
  <si>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</si>
  <si>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</si>
  <si>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</si>
  <si>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</si>
  <si>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</si>
  <si>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</si>
  <si>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</si>
  <si>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</si>
  <si>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</si>
  <si>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</si>
  <si>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</si>
  <si>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</si>
  <si>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</si>
  <si>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</si>
  <si>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</si>
  <si>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</si>
  <si>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</si>
  <si>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</si>
  <si>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</si>
  <si>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</si>
  <si>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</si>
  <si>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</si>
  <si>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</si>
  <si>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</si>
  <si>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</si>
  <si>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</si>
  <si>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</si>
  <si>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</si>
  <si>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</si>
  <si>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</si>
  <si>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</si>
  <si>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</si>
  <si>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</si>
  <si>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</si>
  <si>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</si>
  <si>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</si>
  <si>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</si>
  <si>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</si>
  <si>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</si>
  <si>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</si>
  <si>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</si>
  <si>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</si>
  <si>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</si>
  <si>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</si>
  <si>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</si>
  <si>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</si>
  <si>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</si>
  <si>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</si>
  <si>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</si>
  <si>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</si>
  <si>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</si>
  <si>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</si>
  <si>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</si>
  <si>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</si>
  <si>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</si>
  <si>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</si>
  <si>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</si>
  <si>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</si>
  <si>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</si>
  <si>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</si>
  <si>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</si>
  <si>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</si>
  <si>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</si>
  <si>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</si>
  <si>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</si>
  <si>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</si>
  <si>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</si>
  <si>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</si>
  <si>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</si>
  <si>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</si>
  <si>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</si>
  <si>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</si>
  <si>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</si>
  <si>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</si>
  <si>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</si>
  <si>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</si>
  <si>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</si>
  <si>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</si>
  <si>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</si>
  <si>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</si>
  <si>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</si>
  <si>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</si>
  <si>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</si>
  <si>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</si>
  <si>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</si>
  <si>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</si>
  <si>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</si>
  <si>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</si>
  <si>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</si>
  <si>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</si>
  <si>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</si>
  <si>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</si>
  <si>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</si>
  <si>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</si>
  <si>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</si>
  <si>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</si>
  <si>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</si>
  <si>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</si>
  <si>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</si>
  <si>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</si>
  <si>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</si>
  <si>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</si>
  <si>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</si>
  <si>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</si>
  <si>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</si>
  <si>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</si>
  <si>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</si>
  <si>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</si>
  <si>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</si>
  <si>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</si>
  <si>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</si>
  <si>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</si>
  <si>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</si>
  <si>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</si>
  <si>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</si>
  <si>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</si>
  <si>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</si>
  <si>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</si>
  <si>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</si>
  <si>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</si>
  <si>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</si>
  <si>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</si>
  <si>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</si>
  <si>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</si>
  <si>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</si>
  <si>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</si>
  <si>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</si>
  <si>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</si>
  <si>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</si>
  <si>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</si>
  <si>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</si>
  <si>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</si>
  <si>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</si>
  <si>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</si>
  <si>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</si>
  <si>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</si>
  <si>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</si>
  <si>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</si>
  <si>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</si>
  <si>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</si>
  <si>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</si>
  <si>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</si>
  <si>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</si>
  <si>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</si>
  <si>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</si>
  <si>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</si>
  <si>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</si>
  <si>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</si>
  <si>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</si>
  <si>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</si>
  <si>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</si>
  <si>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</si>
  <si>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</si>
  <si>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</si>
  <si>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</si>
  <si>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</si>
  <si>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</si>
  <si>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</si>
  <si>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</si>
  <si>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</si>
  <si>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</si>
  <si>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</si>
  <si>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</si>
  <si>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</si>
  <si>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</si>
  <si>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</si>
  <si>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</si>
  <si>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</si>
  <si>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</si>
  <si>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</si>
  <si>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</si>
  <si>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</si>
  <si>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</si>
  <si>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</si>
  <si>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</si>
  <si>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</si>
  <si>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</si>
  <si>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</si>
  <si>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</si>
  <si>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</si>
  <si>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</si>
  <si>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</si>
  <si>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</si>
  <si>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</si>
  <si>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</si>
  <si>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</si>
  <si>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</si>
  <si>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</si>
  <si>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</si>
  <si>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</si>
  <si>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</si>
  <si>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</si>
  <si>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</si>
  <si>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</si>
  <si>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</si>
  <si>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</si>
  <si>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</si>
  <si>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</si>
  <si>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</si>
  <si>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</si>
  <si>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</si>
  <si>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</si>
  <si>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</si>
  <si>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</si>
  <si>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</si>
  <si>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</si>
  <si>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</si>
  <si>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</si>
  <si>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</si>
  <si>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</si>
  <si>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</si>
  <si>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</si>
  <si>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</si>
  <si>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</si>
  <si>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</si>
  <si>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</si>
  <si>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</si>
  <si>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</si>
  <si>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</si>
  <si>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</si>
  <si>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</si>
  <si>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</si>
  <si>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</si>
  <si>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</si>
  <si>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</si>
  <si>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</si>
  <si>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</si>
  <si>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</si>
  <si>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</si>
  <si>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</si>
  <si>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</si>
  <si>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</si>
  <si>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</si>
  <si>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</si>
  <si>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</si>
  <si>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</si>
  <si>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</si>
  <si>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</si>
  <si>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</si>
  <si>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</si>
  <si>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</si>
  <si>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</si>
  <si>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</si>
  <si>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</si>
  <si>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</si>
  <si>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</si>
  <si>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</si>
  <si>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</si>
  <si>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</si>
  <si>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</si>
  <si>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</si>
  <si>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</si>
  <si>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</si>
  <si>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</si>
  <si>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</si>
  <si>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</si>
  <si>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</si>
  <si>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</si>
  <si>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</si>
  <si>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</si>
  <si>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</si>
  <si>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</si>
  <si>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</si>
  <si>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</si>
  <si>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</si>
  <si>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</si>
  <si>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</si>
  <si>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</si>
  <si>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</si>
  <si>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</si>
  <si>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</si>
  <si>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</si>
  <si>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</si>
  <si>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</si>
  <si>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</si>
  <si>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</si>
  <si>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</si>
  <si>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</si>
  <si>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</si>
  <si>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</si>
  <si>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</si>
  <si>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</si>
  <si>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</si>
  <si>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</si>
  <si>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</si>
  <si>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</si>
  <si>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</si>
  <si>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</si>
  <si>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</si>
  <si>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</si>
  <si>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</si>
  <si>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</si>
  <si>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</si>
  <si>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</si>
  <si>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</si>
  <si>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</si>
  <si>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</si>
  <si>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</si>
  <si>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</si>
  <si>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</si>
  <si>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</si>
  <si>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</si>
  <si>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</si>
  <si>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</si>
  <si>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</si>
  <si>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</si>
  <si>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</si>
  <si>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</si>
  <si>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</si>
  <si>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</si>
  <si>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</si>
  <si>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</si>
  <si>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</si>
  <si>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</si>
  <si>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</si>
  <si>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</si>
  <si>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</si>
  <si>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</si>
  <si>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</si>
  <si>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</si>
  <si>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</si>
  <si>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</si>
  <si>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</si>
  <si>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</si>
  <si>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</si>
  <si>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</si>
  <si>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</si>
  <si>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</si>
  <si>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</si>
  <si>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</si>
  <si>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</si>
  <si>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</si>
  <si>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</si>
  <si>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</si>
  <si>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</si>
  <si>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</si>
  <si>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</si>
  <si>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</si>
  <si>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</si>
  <si>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</si>
  <si>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</si>
  <si>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</si>
  <si>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</si>
  <si>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</si>
  <si>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</si>
  <si>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</si>
  <si>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</si>
  <si>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</si>
  <si>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</si>
  <si>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</si>
  <si>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</si>
  <si>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</si>
  <si>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</si>
  <si>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</si>
  <si>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</si>
  <si>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</si>
  <si>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</si>
  <si>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</si>
  <si>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</si>
  <si>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</si>
  <si>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</si>
  <si>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</si>
  <si>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</si>
  <si>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</si>
  <si>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</si>
  <si>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</si>
  <si>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</si>
  <si>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</si>
  <si>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</si>
  <si>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</si>
  <si>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</si>
  <si>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</si>
  <si>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</si>
  <si>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</si>
  <si>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</si>
  <si>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</si>
  <si>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</si>
  <si>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</si>
  <si>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</si>
  <si>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</si>
  <si>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</si>
  <si>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</si>
  <si>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</si>
  <si>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</si>
  <si>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</si>
  <si>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</si>
  <si>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</si>
  <si>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</si>
  <si>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</si>
  <si>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</si>
  <si>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</si>
  <si>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</si>
  <si>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</si>
  <si>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</si>
  <si>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</si>
  <si>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</si>
  <si>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</si>
  <si>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</si>
  <si>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</si>
  <si>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</si>
  <si>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</si>
  <si>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</si>
  <si>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</si>
  <si>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</si>
  <si>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</si>
  <si>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</si>
  <si>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</si>
  <si>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</si>
  <si>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</si>
  <si>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</si>
  <si>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</si>
  <si>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</si>
  <si>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</si>
  <si>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</si>
  <si>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</si>
  <si>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</si>
  <si>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</si>
  <si>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</si>
  <si>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</si>
  <si>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</si>
  <si>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</si>
  <si>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</si>
  <si>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</si>
  <si>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</si>
  <si>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</si>
  <si>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</si>
  <si>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</si>
  <si>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</si>
  <si>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</si>
  <si>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</si>
  <si>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</si>
  <si>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</si>
  <si>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</si>
  <si>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</si>
  <si>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</si>
  <si>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</si>
  <si>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</si>
  <si>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</si>
  <si>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</si>
  <si>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</si>
  <si>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</si>
  <si>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</si>
  <si>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</si>
  <si>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</si>
  <si>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</si>
  <si>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</si>
  <si>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</si>
  <si>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</si>
  <si>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</si>
  <si>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</si>
  <si>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</si>
  <si>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</si>
  <si>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</si>
  <si>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</si>
  <si>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</si>
  <si>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</si>
  <si>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</si>
  <si>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</si>
  <si>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</si>
  <si>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</si>
  <si>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</si>
  <si>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</si>
  <si>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</si>
  <si>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</si>
  <si>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</si>
  <si>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</si>
  <si>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</si>
  <si>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</si>
  <si>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</si>
  <si>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</si>
  <si>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</si>
  <si>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</si>
  <si>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</si>
  <si>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</si>
  <si>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</si>
  <si>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</si>
  <si>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</si>
  <si>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</si>
  <si>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</si>
  <si>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</si>
  <si>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</si>
  <si>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</si>
  <si>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</si>
  <si>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</si>
  <si>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</si>
  <si>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</si>
  <si>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</si>
  <si>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</si>
  <si>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</si>
  <si>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</si>
  <si>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</si>
  <si>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</si>
  <si>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</si>
  <si>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</si>
  <si>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</si>
  <si>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</si>
  <si>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</si>
  <si>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</si>
  <si>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</si>
  <si>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</si>
  <si>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</si>
  <si>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</si>
  <si>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</si>
  <si>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</si>
  <si>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</si>
  <si>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</si>
  <si>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</si>
  <si>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</si>
  <si>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</si>
  <si>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</si>
  <si>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</si>
  <si>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</si>
  <si>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</si>
  <si>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</si>
  <si>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</si>
  <si>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</si>
  <si>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</si>
  <si>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</si>
  <si>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</si>
  <si>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</si>
  <si>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</si>
  <si>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</si>
  <si>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</si>
  <si>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</si>
  <si>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</si>
  <si>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</si>
  <si>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</si>
  <si>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</si>
  <si>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</si>
  <si>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</si>
  <si>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</si>
  <si>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</si>
  <si>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</si>
  <si>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</si>
  <si>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</si>
  <si>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</si>
  <si>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</si>
  <si>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</si>
  <si>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</si>
  <si>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</si>
  <si>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</si>
  <si>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</si>
  <si>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</si>
  <si>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</si>
  <si>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</si>
  <si>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</si>
  <si>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</si>
  <si>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</si>
  <si>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</si>
  <si>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</si>
  <si>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</si>
  <si>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</si>
  <si>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</si>
  <si>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</si>
  <si>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</si>
  <si>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</si>
  <si>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</si>
  <si>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</si>
  <si>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</si>
  <si>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</si>
  <si>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</si>
  <si>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</si>
  <si>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</si>
  <si>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</si>
  <si>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</si>
  <si>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</si>
  <si>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</si>
  <si>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</si>
  <si>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</si>
  <si>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</si>
  <si>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</si>
  <si>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</si>
  <si>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</si>
  <si>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</si>
  <si>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</si>
  <si>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</si>
  <si>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</si>
  <si>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</si>
  <si>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</si>
  <si>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</si>
  <si>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</si>
  <si>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</si>
  <si>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</si>
  <si>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</si>
  <si>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</si>
  <si>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</si>
  <si>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</si>
  <si>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</si>
  <si>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</si>
  <si>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</si>
  <si>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</si>
  <si>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</si>
  <si>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</si>
  <si>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</si>
  <si>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</si>
  <si>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</si>
  <si>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</si>
  <si>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</si>
  <si>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</si>
  <si>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</si>
  <si>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</si>
  <si>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</si>
  <si>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</si>
  <si>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</si>
  <si>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</si>
  <si>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</si>
  <si>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</si>
  <si>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</si>
  <si>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</si>
  <si>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</si>
  <si>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</si>
  <si>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</si>
  <si>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</si>
  <si>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</si>
  <si>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</si>
  <si>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</si>
  <si>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</si>
  <si>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</si>
  <si>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</si>
  <si>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</si>
  <si>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</si>
  <si>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</si>
  <si>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</si>
  <si>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</si>
  <si>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</si>
  <si>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</si>
  <si>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</si>
  <si>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</si>
  <si>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</si>
  <si>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</si>
  <si>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</si>
  <si>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</si>
  <si>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</si>
  <si>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</si>
  <si>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</si>
  <si>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</si>
  <si>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</si>
  <si>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</si>
  <si>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</si>
  <si>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</si>
  <si>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</si>
  <si>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</si>
  <si>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</si>
  <si>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</si>
  <si>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</si>
  <si>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</si>
  <si>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</si>
  <si>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</si>
  <si>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</si>
  <si>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</si>
  <si>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</si>
  <si>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</si>
  <si>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</si>
  <si>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</si>
  <si>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</si>
  <si>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</si>
  <si>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</si>
  <si>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</si>
  <si>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</si>
  <si>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</si>
  <si>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</si>
  <si>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</si>
  <si>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</si>
  <si>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</si>
  <si>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</si>
  <si>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</si>
  <si>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</si>
  <si>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</si>
  <si>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</si>
  <si>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</si>
  <si>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</si>
  <si>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</si>
  <si>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</si>
  <si>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</si>
  <si>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</si>
  <si>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</si>
  <si>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</si>
  <si>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</si>
  <si>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</si>
  <si>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</si>
  <si>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</si>
  <si>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</si>
  <si>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</si>
  <si>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</si>
  <si>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</si>
  <si>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</si>
  <si>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</si>
  <si>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</si>
  <si>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</si>
  <si>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</si>
  <si>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</si>
  <si>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</si>
  <si>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</si>
  <si>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</si>
  <si>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</si>
  <si>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</si>
  <si>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</si>
  <si>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</si>
  <si>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</si>
  <si>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</si>
  <si>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</si>
  <si>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</si>
  <si>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</si>
  <si>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</si>
  <si>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</si>
  <si>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</si>
  <si>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</si>
  <si>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</si>
  <si>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</si>
  <si>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</si>
  <si>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</si>
  <si>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</si>
  <si>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</si>
  <si>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</si>
  <si>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</si>
  <si>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</si>
  <si>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</si>
  <si>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</si>
  <si>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</si>
  <si>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</si>
  <si>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</si>
  <si>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</si>
  <si>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</si>
  <si>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</si>
  <si>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</si>
  <si>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</si>
  <si>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</si>
  <si>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</si>
  <si>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</si>
  <si>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</si>
  <si>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</si>
  <si>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</si>
  <si>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</si>
  <si>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</si>
  <si>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</si>
  <si>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</si>
  <si>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</si>
  <si>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</si>
  <si>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</si>
  <si>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</si>
  <si>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</si>
  <si>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</si>
  <si>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</si>
  <si>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</si>
  <si>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</si>
  <si>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</si>
  <si>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</si>
  <si>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</si>
  <si>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</si>
  <si>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</si>
  <si>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</si>
  <si>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</si>
  <si>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</si>
  <si>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</si>
  <si>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</si>
  <si>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</si>
  <si>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</si>
  <si>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</si>
  <si>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</si>
  <si>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</si>
  <si>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</si>
  <si>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</si>
  <si>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</si>
  <si>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</si>
  <si>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</si>
  <si>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</si>
  <si>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</si>
  <si>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</si>
  <si>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</si>
  <si>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</si>
  <si>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</si>
  <si>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</si>
  <si>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</si>
  <si>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</si>
  <si>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</si>
  <si>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</si>
  <si>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</si>
  <si>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</si>
  <si>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</si>
  <si>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</si>
  <si>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</si>
  <si>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</si>
  <si>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</si>
  <si>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</si>
  <si>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</si>
  <si>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</si>
  <si>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</si>
  <si>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</si>
  <si>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</si>
  <si>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</si>
  <si>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</si>
  <si>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</si>
  <si>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</si>
  <si>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</si>
  <si>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</si>
  <si>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</si>
  <si>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</si>
  <si>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</si>
  <si>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</si>
  <si>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</si>
  <si>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</si>
  <si>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</si>
  <si>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</si>
  <si>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</si>
  <si>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</si>
  <si>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</si>
  <si>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</si>
  <si>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</si>
  <si>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</si>
  <si>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</si>
  <si>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</si>
  <si>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</si>
  <si>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</si>
  <si>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</si>
  <si>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</si>
  <si>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</si>
  <si>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</si>
  <si>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</si>
  <si>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</si>
  <si>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</si>
  <si>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</si>
  <si>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</si>
  <si>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</si>
  <si>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</si>
  <si>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</si>
  <si>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</si>
  <si>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</si>
  <si>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</si>
  <si>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</si>
  <si>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</si>
  <si>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</si>
  <si>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</si>
  <si>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</si>
  <si>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</si>
  <si>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</si>
  <si>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</si>
  <si>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</si>
  <si>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</si>
  <si>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</si>
  <si>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</si>
  <si>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</si>
  <si>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</si>
  <si>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</si>
  <si>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</si>
  <si>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</si>
  <si>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</si>
  <si>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</si>
  <si>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</si>
  <si>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</si>
  <si>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</si>
  <si>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</si>
  <si>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</si>
  <si>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</si>
  <si>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</si>
  <si>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</si>
  <si>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</si>
  <si>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</si>
  <si>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</si>
  <si>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</si>
  <si>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</si>
  <si>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</si>
  <si>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</si>
  <si>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</si>
  <si>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</si>
  <si>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</si>
  <si>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</si>
  <si>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</si>
  <si>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</si>
  <si>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</si>
  <si>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</si>
  <si>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</si>
  <si>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</si>
  <si>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</si>
  <si>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</si>
  <si>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</si>
  <si>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</si>
  <si>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</si>
  <si>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</si>
  <si>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</si>
  <si>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</si>
  <si>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</si>
  <si>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</si>
  <si>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</si>
  <si>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</si>
  <si>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</si>
  <si>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</si>
  <si>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</si>
  <si>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</si>
  <si>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</si>
  <si>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</si>
  <si>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</si>
  <si>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</si>
  <si>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</si>
  <si>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</si>
  <si>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</si>
  <si>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</si>
  <si>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</si>
  <si>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</si>
  <si>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</si>
  <si>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</si>
  <si>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</si>
  <si>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</si>
  <si>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</si>
  <si>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</si>
  <si>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</si>
  <si>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</si>
  <si>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</si>
  <si>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</si>
  <si>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</si>
  <si>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</si>
  <si>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</si>
  <si>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</si>
  <si>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</si>
  <si>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</si>
  <si>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</si>
  <si>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</si>
  <si>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</si>
  <si>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</si>
  <si>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</si>
  <si>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</si>
  <si>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</si>
  <si>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</si>
  <si>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</si>
  <si>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</si>
  <si>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</si>
  <si>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</si>
  <si>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</si>
  <si>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</si>
  <si>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</si>
  <si>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</si>
  <si>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</si>
  <si>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</si>
  <si>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</si>
  <si>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</si>
  <si>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</si>
  <si>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</si>
  <si>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</si>
  <si>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</si>
  <si>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</si>
  <si>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</si>
  <si>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</si>
  <si>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</si>
  <si>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</si>
  <si>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</si>
  <si>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</si>
  <si>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</si>
  <si>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</si>
  <si>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</si>
  <si>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</si>
  <si>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</si>
  <si>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</si>
  <si>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</si>
  <si>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</si>
  <si>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</si>
  <si>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</si>
  <si>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</si>
  <si>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</si>
  <si>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</si>
  <si>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</si>
  <si>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</si>
  <si>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</si>
  <si>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</si>
  <si>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</si>
  <si>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</si>
  <si>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</si>
  <si>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</si>
  <si>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</si>
  <si>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</si>
  <si>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</si>
  <si>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</si>
  <si>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</si>
  <si>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</si>
  <si>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</si>
  <si>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</si>
  <si>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</si>
  <si>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</si>
  <si>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</si>
  <si>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</si>
  <si>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</si>
  <si>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</si>
  <si>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</si>
  <si>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</si>
  <si>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</si>
  <si>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</si>
  <si>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</si>
  <si>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</si>
  <si>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</si>
  <si>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</si>
  <si>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</si>
  <si>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</si>
  <si>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</si>
  <si>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</si>
  <si>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</si>
  <si>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</si>
  <si>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</si>
  <si>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</si>
  <si>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</si>
  <si>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</si>
  <si>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</si>
  <si>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</si>
  <si>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</si>
  <si>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</si>
  <si>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</si>
  <si>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</si>
  <si>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</si>
  <si>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</si>
  <si>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</si>
  <si>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</si>
  <si>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</si>
  <si>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</si>
  <si>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</si>
  <si>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</si>
  <si>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</si>
  <si>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</si>
  <si>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</si>
  <si>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</si>
  <si>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</si>
  <si>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</si>
  <si>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</si>
  <si>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</si>
  <si>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</si>
  <si>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</si>
  <si>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</si>
  <si>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</si>
  <si>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</si>
  <si>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</si>
  <si>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</si>
  <si>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</si>
  <si>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</si>
  <si>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</si>
  <si>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</si>
  <si>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</si>
  <si>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</si>
  <si>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</si>
  <si>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</si>
  <si>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</si>
  <si>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</si>
  <si>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</si>
  <si>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</si>
  <si>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</si>
  <si>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</si>
  <si>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</si>
  <si>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</si>
  <si>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</si>
  <si>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</si>
  <si>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</si>
  <si>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</si>
  <si>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</si>
  <si>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</si>
  <si>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</si>
  <si>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</si>
  <si>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</si>
  <si>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</si>
  <si>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</si>
  <si>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</si>
  <si>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</si>
  <si>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</si>
  <si>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</si>
  <si>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</si>
  <si>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</si>
  <si>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</si>
  <si>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</si>
  <si>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</si>
  <si>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</si>
  <si>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</si>
  <si>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</si>
  <si>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</si>
  <si>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</si>
  <si>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</si>
  <si>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</si>
  <si>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</si>
  <si>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</si>
  <si>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</si>
  <si>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</si>
  <si>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</si>
  <si>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</si>
  <si>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</si>
  <si>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</si>
  <si>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</si>
  <si>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</si>
  <si>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</si>
  <si>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</si>
  <si>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</si>
  <si>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</si>
  <si>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</si>
  <si>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</si>
  <si>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</si>
  <si>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</si>
  <si>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</si>
  <si>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</si>
  <si>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</si>
  <si>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</si>
  <si>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</si>
  <si>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</si>
  <si>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</si>
  <si>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</si>
  <si>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</si>
  <si>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</si>
  <si>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</si>
  <si>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</si>
  <si>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</si>
  <si>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</si>
  <si>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</si>
  <si>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</si>
  <si>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</si>
  <si>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</si>
  <si>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</si>
  <si>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</si>
  <si>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</si>
  <si>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</si>
  <si>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</si>
  <si>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</si>
  <si>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</si>
  <si>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</si>
  <si>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</si>
  <si>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</si>
  <si>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</si>
  <si>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</si>
  <si>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</si>
  <si>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</si>
  <si>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</si>
  <si>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</si>
  <si>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</si>
  <si>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</si>
  <si>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</si>
  <si>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</si>
  <si>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</si>
  <si>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</si>
  <si>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</si>
  <si>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</si>
  <si>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</si>
  <si>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</si>
  <si>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</si>
  <si>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</si>
  <si>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</si>
  <si>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</si>
  <si>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</si>
  <si>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</si>
  <si>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</si>
  <si>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</si>
  <si>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</si>
  <si>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</si>
  <si>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</si>
  <si>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</si>
  <si>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</si>
  <si>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</si>
  <si>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</si>
  <si>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</si>
  <si>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</si>
  <si>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</si>
  <si>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</si>
  <si>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</si>
  <si>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</si>
  <si>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</si>
  <si>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</si>
  <si>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</si>
  <si>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</si>
  <si>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</si>
  <si>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</si>
  <si>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</si>
  <si>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</si>
  <si>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</si>
  <si>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</si>
  <si>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</si>
  <si>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</si>
  <si>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</si>
  <si>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</si>
  <si>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</si>
  <si>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</si>
  <si>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</si>
  <si>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</si>
  <si>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</si>
  <si>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</si>
  <si>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</si>
  <si>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</si>
  <si>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</si>
  <si>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</si>
  <si>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</si>
  <si>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</si>
  <si>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</si>
  <si>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</si>
  <si>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</si>
  <si>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</si>
  <si>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</si>
  <si>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</si>
  <si>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</si>
  <si>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</si>
  <si>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</si>
  <si>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</si>
  <si>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</si>
  <si>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</si>
  <si>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</si>
  <si>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</si>
  <si>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</si>
  <si>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</si>
  <si>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</si>
  <si>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</si>
  <si>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</si>
  <si>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</si>
  <si>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</si>
  <si>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</si>
  <si>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</si>
  <si>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</si>
  <si>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</si>
  <si>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</si>
  <si>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</si>
  <si>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</si>
  <si>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</si>
  <si>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</si>
  <si>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</si>
  <si>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</si>
  <si>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</si>
  <si>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</si>
  <si>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</si>
  <si>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</si>
  <si>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</si>
  <si>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</si>
  <si>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</si>
  <si>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</si>
  <si>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</si>
  <si>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</si>
  <si>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</si>
  <si>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</si>
  <si>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</si>
  <si>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</si>
  <si>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</si>
  <si>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</si>
  <si>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</si>
  <si>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</si>
  <si>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</si>
  <si>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</si>
  <si>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</si>
  <si>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</si>
  <si>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</si>
  <si>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</si>
  <si>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</si>
  <si>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</si>
  <si>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</si>
  <si>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</si>
  <si>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</si>
  <si>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</si>
  <si>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</si>
  <si>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</si>
  <si>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</si>
  <si>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</si>
  <si>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</si>
  <si>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</si>
  <si>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</si>
  <si>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</si>
  <si>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</si>
  <si>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</si>
  <si>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</si>
  <si>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</si>
  <si>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</si>
  <si>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</si>
  <si>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</si>
  <si>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</si>
  <si>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</si>
  <si>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</si>
  <si>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</si>
  <si>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</si>
  <si>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</si>
  <si>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</si>
  <si>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</si>
  <si>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</si>
  <si>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</si>
  <si>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</si>
  <si>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</si>
  <si>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</si>
  <si>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</si>
  <si>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</si>
  <si>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</si>
  <si>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</si>
  <si>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</si>
  <si>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</si>
  <si>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</si>
  <si>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</si>
  <si>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</si>
  <si>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</si>
  <si>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</si>
  <si>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</si>
  <si>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</si>
  <si>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</si>
  <si>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</si>
  <si>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</si>
  <si>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</si>
  <si>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</si>
  <si>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</si>
  <si>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</si>
  <si>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</si>
  <si>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</si>
  <si>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</si>
  <si>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</si>
  <si>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</si>
  <si>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</si>
  <si>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Gasoil</t>
  </si>
  <si>
    <t>Combustible para Planta Electrica</t>
  </si>
  <si>
    <t>Tickets de Combustible</t>
  </si>
  <si>
    <t>Gas Licuado de Petroleo</t>
  </si>
  <si>
    <t>Gas Licuado de Petróleo</t>
  </si>
  <si>
    <t>Aceites, Grasas, Lubricantes y Anticorrosivos</t>
  </si>
  <si>
    <t>Pinturas, Lacas, Barnices y Diluyentes para Pintura</t>
  </si>
  <si>
    <t>Pintura, Bases y Acabados</t>
  </si>
  <si>
    <t>Pinturas, Lacas, Barnices, Diluyentes para Pintura</t>
  </si>
  <si>
    <t>Material de Limpieza</t>
  </si>
  <si>
    <t>Suministro de Aseo y Limpieza</t>
  </si>
  <si>
    <t>Maquinaria, Suministros y Accesorios de Oficina</t>
  </si>
  <si>
    <t>Utiles de Escritorio, Oficina e Informatica</t>
  </si>
  <si>
    <t>Utiles de Escritorio, Oficina e informatica</t>
  </si>
  <si>
    <t>Accesorio de Oficina y Escritorio</t>
  </si>
  <si>
    <t>Suministro de Oficina</t>
  </si>
  <si>
    <t xml:space="preserve">Utiles de Escritorio, Oficina e Informatica  </t>
  </si>
  <si>
    <t>Utiles de escritorio, Oficina e informatica</t>
  </si>
  <si>
    <t>Utiles Destinado Actividades Deportivas y Recreativas</t>
  </si>
  <si>
    <t>Artículos Deportivos</t>
  </si>
  <si>
    <t xml:space="preserve">Utiles Destinado Actividades Deportivas y Recreativas </t>
  </si>
  <si>
    <t>Utiles de Cocina y Comedor</t>
  </si>
  <si>
    <t>Utensilios de Cocina Domésticos</t>
  </si>
  <si>
    <t>Productos Electricos y Afines</t>
  </si>
  <si>
    <t>Ferretería</t>
  </si>
  <si>
    <t>Muebles de Oficina y Estantería</t>
  </si>
  <si>
    <t>Muebles de Alojamiento</t>
  </si>
  <si>
    <t>Equipos de Computos</t>
  </si>
  <si>
    <t>Equipo Informático y Accesorios</t>
  </si>
  <si>
    <t>Aparatos Electrodomésticos</t>
  </si>
  <si>
    <t>Electrodomésticos</t>
  </si>
  <si>
    <t>Equipos y Aparatos Audiovisuales</t>
  </si>
  <si>
    <t>Equipos de Audio y Video para presentación</t>
  </si>
  <si>
    <t>Equipo de Video, Filmación y Fotografía</t>
  </si>
  <si>
    <t>Cámara Fotográfica y de Videos</t>
  </si>
  <si>
    <t>Automóviles y Camiones</t>
  </si>
  <si>
    <t>Automóviles o Minibus</t>
  </si>
  <si>
    <t>Componentes y Sistemas de Transporte y otros</t>
  </si>
  <si>
    <t>Equipos de Transporte</t>
  </si>
  <si>
    <t>Componentes y Sistemas de Transporte</t>
  </si>
  <si>
    <t>Llantas y Neumáticos</t>
  </si>
  <si>
    <t>Sistema de Aire Acondicionados y Abanicos</t>
  </si>
  <si>
    <t>Sistema de Aires Acondicionados</t>
  </si>
  <si>
    <t>Sistemas de Aires Acondicionados</t>
  </si>
  <si>
    <t>Programa de Informática</t>
  </si>
  <si>
    <t>Informática</t>
  </si>
  <si>
    <t>Medios Impresos</t>
  </si>
  <si>
    <t>Libros, Revistas y Periódicos</t>
  </si>
  <si>
    <t>Especies Timbradas y Valoradas</t>
  </si>
  <si>
    <t>Servicio de Reproducción</t>
  </si>
  <si>
    <t>Diseño Grafico</t>
  </si>
  <si>
    <t>Productos de Artes Gráficas</t>
  </si>
  <si>
    <t>Acabados Textiles</t>
  </si>
  <si>
    <t>Industria de fibra, textiles y tejidos</t>
  </si>
  <si>
    <t>Hilados y Telas</t>
  </si>
  <si>
    <t>Hilados, Telas y Uniforme</t>
  </si>
  <si>
    <t>Hilados, Telas y Uniformes</t>
  </si>
  <si>
    <t>Prenda de Vestir</t>
  </si>
  <si>
    <t>Ropa, T-Shirt y Gorras</t>
  </si>
  <si>
    <t>Calzados</t>
  </si>
  <si>
    <t>Alimentos y Bebidas para personas</t>
  </si>
  <si>
    <t>Alimentos y Bebida para Personas</t>
  </si>
  <si>
    <t>Frutos Secos, Azucares y Productos de Panadería</t>
  </si>
  <si>
    <t>Alimentos y Bebidas para Personas</t>
  </si>
  <si>
    <t>Alimentos Preparados y Conservados</t>
  </si>
  <si>
    <t>Productos Ferrosos</t>
  </si>
  <si>
    <t>Artículos de Plástico</t>
  </si>
  <si>
    <t>Artículos de Plastico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</si>
</sst>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3">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9"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25" fillId="5" borderId="2" xfId="45" applyFo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23">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2"/>
    </tableStyle>
    <tableStyle name="Table Style 2" pivot="0" count="2" xr9:uid="{00000000-0011-0000-FFFF-FFFF01000000}">
      <tableStyleElement type="wholeTable" dxfId="21"/>
      <tableStyleElement type="totalRow" dxfId="20"/>
    </tableStyle>
    <tableStyle name="Table Style 3" pivot="0" count="3" xr9:uid="{00000000-0011-0000-FFFF-FFFF02000000}">
      <tableStyleElement type="lastColumn" dxfId="19"/>
      <tableStyleElement type="firstRowStripe" dxfId="18"/>
      <tableStyleElement type="secondRowStripe" dxfId="17"/>
    </tableStyle>
    <tableStyle name="Table Style 4" pivot="0" count="2" xr9:uid="{00000000-0011-0000-FFFF-FFFF03000000}">
      <tableStyleElement type="firstRowStripe" dxfId="16"/>
      <tableStyleElement type="secondColumn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2086</xdr:row>
          <xdr:rowOff>0</xdr:rowOff>
        </xdr:from>
        <xdr:to>
          <xdr:col>1</xdr:col>
          <xdr:colOff>457200</xdr:colOff>
          <xdr:row>2087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679" name="Button 2319" hidden="1">
              <a:extLst>
                <a:ext uri="{63B3BB69-23CF-44E3-9099-C40C66FF867C}">
                  <a14:compatExt spid="_x0000_s17679"/>
                </a:ext>
                <a:ext uri="{FF2B5EF4-FFF2-40B4-BE49-F238E27FC236}">
                  <a16:creationId xmlns:a16="http://schemas.microsoft.com/office/drawing/2014/main" id="{00000000-0008-0000-0100-00000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336" name="Button 2976" hidden="1">
              <a:extLst>
                <a:ext uri="{63B3BB69-23CF-44E3-9099-C40C66FF867C}">
                  <a14:compatExt spid="_x0000_s18336"/>
                </a:ext>
                <a:ext uri="{FF2B5EF4-FFF2-40B4-BE49-F238E27FC236}">
                  <a16:creationId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543" name="Button 3087" hidden="1">
              <a:extLst>
                <a:ext uri="{63B3BB69-23CF-44E3-9099-C40C66FF867C}">
                  <a14:compatExt spid="_x0000_s22543"/>
                </a:ext>
                <a:ext uri="{FF2B5EF4-FFF2-40B4-BE49-F238E27FC236}">
                  <a16:creationId xmlns:a16="http://schemas.microsoft.com/office/drawing/2014/main" id="{00000000-0008-0000-0100-00000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544" name="Button 3088" hidden="1">
              <a:extLst>
                <a:ext uri="{63B3BB69-23CF-44E3-9099-C40C66FF867C}">
                  <a14:compatExt spid="_x0000_s22544"/>
                </a:ext>
                <a:ext uri="{FF2B5EF4-FFF2-40B4-BE49-F238E27FC236}">
                  <a16:creationId xmlns:a16="http://schemas.microsoft.com/office/drawing/2014/main" id="{00000000-0008-0000-0100-00001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545" name="Button 3089" hidden="1">
              <a:extLst>
                <a:ext uri="{63B3BB69-23CF-44E3-9099-C40C66FF867C}">
                  <a14:compatExt spid="_x0000_s22545"/>
                </a:ext>
                <a:ext uri="{FF2B5EF4-FFF2-40B4-BE49-F238E27FC236}">
                  <a16:creationId xmlns:a16="http://schemas.microsoft.com/office/drawing/2014/main" id="{00000000-0008-0000-0100-00001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722" name="Button 3266" hidden="1">
              <a:extLst>
                <a:ext uri="{63B3BB69-23CF-44E3-9099-C40C66FF867C}">
                  <a14:compatExt spid="_x0000_s22722"/>
                </a:ext>
                <a:ext uri="{FF2B5EF4-FFF2-40B4-BE49-F238E27FC236}">
                  <a16:creationId xmlns:a16="http://schemas.microsoft.com/office/drawing/2014/main" id="{00000000-0008-0000-0100-0000C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2723" name="Button 3267" hidden="1">
              <a:extLst>
                <a:ext uri="{63B3BB69-23CF-44E3-9099-C40C66FF867C}">
                  <a14:compatExt spid="_x0000_s22723"/>
                </a:ext>
                <a:ext uri="{FF2B5EF4-FFF2-40B4-BE49-F238E27FC236}">
                  <a16:creationId xmlns:a16="http://schemas.microsoft.com/office/drawing/2014/main" id="{00000000-0008-0000-0100-0000C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2724" name="Button 3268" hidden="1">
              <a:extLst>
                <a:ext uri="{63B3BB69-23CF-44E3-9099-C40C66FF867C}">
                  <a14:compatExt spid="_x0000_s22724"/>
                </a:ext>
                <a:ext uri="{FF2B5EF4-FFF2-40B4-BE49-F238E27FC236}">
                  <a16:creationId xmlns:a16="http://schemas.microsoft.com/office/drawing/2014/main" id="{00000000-0008-0000-0100-0000C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2725" name="Button 3269" hidden="1">
              <a:extLst>
                <a:ext uri="{63B3BB69-23CF-44E3-9099-C40C66FF867C}">
                  <a14:compatExt spid="_x0000_s22725"/>
                </a:ext>
                <a:ext uri="{FF2B5EF4-FFF2-40B4-BE49-F238E27FC236}">
                  <a16:creationId xmlns:a16="http://schemas.microsoft.com/office/drawing/2014/main" id="{00000000-0008-0000-0100-0000C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159" name="Button 3703" hidden="1">
              <a:extLst>
                <a:ext uri="{63B3BB69-23CF-44E3-9099-C40C66FF867C}">
                  <a14:compatExt spid="_x0000_s23159"/>
                </a:ext>
                <a:ext uri="{FF2B5EF4-FFF2-40B4-BE49-F238E27FC236}">
                  <a16:creationId xmlns:a16="http://schemas.microsoft.com/office/drawing/2014/main" id="{00000000-0008-0000-0100-00007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417" name="Button 3961" hidden="1">
              <a:extLst>
                <a:ext uri="{63B3BB69-23CF-44E3-9099-C40C66FF867C}">
                  <a14:compatExt spid="_x0000_s23417"/>
                </a:ext>
                <a:ext uri="{FF2B5EF4-FFF2-40B4-BE49-F238E27FC236}">
                  <a16:creationId xmlns:a16="http://schemas.microsoft.com/office/drawing/2014/main" id="{00000000-0008-0000-0100-00007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3421" name="Button 3965" hidden="1">
              <a:extLst>
                <a:ext uri="{63B3BB69-23CF-44E3-9099-C40C66FF867C}">
                  <a14:compatExt spid="_x0000_s23421"/>
                </a:ext>
                <a:ext uri="{FF2B5EF4-FFF2-40B4-BE49-F238E27FC236}">
                  <a16:creationId xmlns:a16="http://schemas.microsoft.com/office/drawing/2014/main" id="{00000000-0008-0000-0100-00007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3422" name="Button 3966" hidden="1">
              <a:extLst>
                <a:ext uri="{63B3BB69-23CF-44E3-9099-C40C66FF867C}">
                  <a14:compatExt spid="_x0000_s23422"/>
                </a:ext>
                <a:ext uri="{FF2B5EF4-FFF2-40B4-BE49-F238E27FC236}">
                  <a16:creationId xmlns:a16="http://schemas.microsoft.com/office/drawing/2014/main" id="{00000000-0008-0000-0100-00007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3569" name="Button 4113"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570" name="Button 4114" hidden="1">
              <a:extLst>
                <a:ext uri="{63B3BB69-23CF-44E3-9099-C40C66FF867C}">
                  <a14:compatExt spid="_x0000_s23570"/>
                </a:ext>
                <a:ext uri="{FF2B5EF4-FFF2-40B4-BE49-F238E27FC236}">
                  <a16:creationId xmlns:a16="http://schemas.microsoft.com/office/drawing/2014/main" id="{00000000-0008-0000-0100-00001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3571" name="Button 4115" hidden="1">
              <a:extLst>
                <a:ext uri="{63B3BB69-23CF-44E3-9099-C40C66FF867C}">
                  <a14:compatExt spid="_x0000_s23571"/>
                </a:ext>
                <a:ext uri="{FF2B5EF4-FFF2-40B4-BE49-F238E27FC236}">
                  <a16:creationId xmlns:a16="http://schemas.microsoft.com/office/drawing/2014/main" id="{00000000-0008-0000-0100-00001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3572" name="Button 4116" hidden="1">
              <a:extLst>
                <a:ext uri="{63B3BB69-23CF-44E3-9099-C40C66FF867C}">
                  <a14:compatExt spid="_x0000_s23572"/>
                </a:ext>
                <a:ext uri="{FF2B5EF4-FFF2-40B4-BE49-F238E27FC236}">
                  <a16:creationId xmlns:a16="http://schemas.microsoft.com/office/drawing/2014/main" id="{00000000-0008-0000-0100-00001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3591" name="Button 4135" hidden="1">
              <a:extLst>
                <a:ext uri="{63B3BB69-23CF-44E3-9099-C40C66FF867C}">
                  <a14:compatExt spid="_x0000_s23591"/>
                </a:ext>
                <a:ext uri="{FF2B5EF4-FFF2-40B4-BE49-F238E27FC236}">
                  <a16:creationId xmlns:a16="http://schemas.microsoft.com/office/drawing/2014/main" id="{00000000-0008-0000-0100-00002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592" name="Button 4136" hidden="1">
              <a:extLst>
                <a:ext uri="{63B3BB69-23CF-44E3-9099-C40C66FF867C}">
                  <a14:compatExt spid="_x0000_s23592"/>
                </a:ext>
                <a:ext uri="{FF2B5EF4-FFF2-40B4-BE49-F238E27FC236}">
                  <a16:creationId xmlns:a16="http://schemas.microsoft.com/office/drawing/2014/main" id="{00000000-0008-0000-0100-00002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3593" name="Button 4137" hidden="1">
              <a:extLst>
                <a:ext uri="{63B3BB69-23CF-44E3-9099-C40C66FF867C}">
                  <a14:compatExt spid="_x0000_s23593"/>
                </a:ext>
                <a:ext uri="{FF2B5EF4-FFF2-40B4-BE49-F238E27FC236}">
                  <a16:creationId xmlns:a16="http://schemas.microsoft.com/office/drawing/2014/main" id="{00000000-0008-0000-0100-00002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594" name="Button 4138" hidden="1">
              <a:extLst>
                <a:ext uri="{63B3BB69-23CF-44E3-9099-C40C66FF867C}">
                  <a14:compatExt spid="_x0000_s23594"/>
                </a:ext>
                <a:ext uri="{FF2B5EF4-FFF2-40B4-BE49-F238E27FC236}">
                  <a16:creationId xmlns:a16="http://schemas.microsoft.com/office/drawing/2014/main" id="{00000000-0008-0000-0100-00002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614" name="Button 4158" hidden="1">
              <a:extLst>
                <a:ext uri="{63B3BB69-23CF-44E3-9099-C40C66FF867C}">
                  <a14:compatExt spid="_x0000_s23614"/>
                </a:ext>
                <a:ext uri="{FF2B5EF4-FFF2-40B4-BE49-F238E27FC236}">
                  <a16:creationId xmlns:a16="http://schemas.microsoft.com/office/drawing/2014/main" id="{00000000-0008-0000-0100-00003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3615" name="Button 4159"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617" name="Button 4161" hidden="1">
              <a:extLst>
                <a:ext uri="{63B3BB69-23CF-44E3-9099-C40C66FF867C}">
                  <a14:compatExt spid="_x0000_s23617"/>
                </a:ext>
                <a:ext uri="{FF2B5EF4-FFF2-40B4-BE49-F238E27FC236}">
                  <a16:creationId xmlns:a16="http://schemas.microsoft.com/office/drawing/2014/main" id="{00000000-0008-0000-0100-00004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3639" name="Button 4183"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3658" name="Button 4202" hidden="1">
              <a:extLst>
                <a:ext uri="{63B3BB69-23CF-44E3-9099-C40C66FF867C}">
                  <a14:compatExt spid="_x0000_s23658"/>
                </a:ext>
                <a:ext uri="{FF2B5EF4-FFF2-40B4-BE49-F238E27FC236}">
                  <a16:creationId xmlns:a16="http://schemas.microsoft.com/office/drawing/2014/main" id="{00000000-0008-0000-0100-00006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3659" name="Button 4203" hidden="1">
              <a:extLst>
                <a:ext uri="{63B3BB69-23CF-44E3-9099-C40C66FF867C}">
                  <a14:compatExt spid="_x0000_s23659"/>
                </a:ext>
                <a:ext uri="{FF2B5EF4-FFF2-40B4-BE49-F238E27FC236}">
                  <a16:creationId xmlns:a16="http://schemas.microsoft.com/office/drawing/2014/main" id="{00000000-0008-0000-0100-00006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660" name="Button 4204" hidden="1">
              <a:extLst>
                <a:ext uri="{63B3BB69-23CF-44E3-9099-C40C66FF867C}">
                  <a14:compatExt spid="_x0000_s23660"/>
                </a:ext>
                <a:ext uri="{FF2B5EF4-FFF2-40B4-BE49-F238E27FC236}">
                  <a16:creationId xmlns:a16="http://schemas.microsoft.com/office/drawing/2014/main" id="{00000000-0008-0000-0100-00006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3661" name="Button 4205"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3680" name="Button 4224" hidden="1">
              <a:extLst>
                <a:ext uri="{63B3BB69-23CF-44E3-9099-C40C66FF867C}">
                  <a14:compatExt spid="_x0000_s23680"/>
                </a:ext>
                <a:ext uri="{FF2B5EF4-FFF2-40B4-BE49-F238E27FC236}">
                  <a16:creationId xmlns:a16="http://schemas.microsoft.com/office/drawing/2014/main" id="{00000000-0008-0000-0100-00008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3681" name="Button 4225" hidden="1">
              <a:extLst>
                <a:ext uri="{63B3BB69-23CF-44E3-9099-C40C66FF867C}">
                  <a14:compatExt spid="_x0000_s23681"/>
                </a:ext>
                <a:ext uri="{FF2B5EF4-FFF2-40B4-BE49-F238E27FC236}">
                  <a16:creationId xmlns:a16="http://schemas.microsoft.com/office/drawing/2014/main" id="{00000000-0008-0000-0100-00008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3682" name="Button 4226" hidden="1">
              <a:extLst>
                <a:ext uri="{63B3BB69-23CF-44E3-9099-C40C66FF867C}">
                  <a14:compatExt spid="_x0000_s23682"/>
                </a:ext>
                <a:ext uri="{FF2B5EF4-FFF2-40B4-BE49-F238E27FC236}">
                  <a16:creationId xmlns:a16="http://schemas.microsoft.com/office/drawing/2014/main" id="{00000000-0008-0000-0100-00008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3683" name="Button 4227" hidden="1">
              <a:extLst>
                <a:ext uri="{63B3BB69-23CF-44E3-9099-C40C66FF867C}">
                  <a14:compatExt spid="_x0000_s23683"/>
                </a:ext>
                <a:ext uri="{FF2B5EF4-FFF2-40B4-BE49-F238E27FC236}">
                  <a16:creationId xmlns:a16="http://schemas.microsoft.com/office/drawing/2014/main" id="{00000000-0008-0000-0100-00008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3703" name="Button 4247" hidden="1">
              <a:extLst>
                <a:ext uri="{63B3BB69-23CF-44E3-9099-C40C66FF867C}">
                  <a14:compatExt spid="_x0000_s23703"/>
                </a:ext>
                <a:ext uri="{FF2B5EF4-FFF2-40B4-BE49-F238E27FC236}">
                  <a16:creationId xmlns:a16="http://schemas.microsoft.com/office/drawing/2014/main" id="{00000000-0008-0000-0100-00009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3704" name="Button 4248" hidden="1">
              <a:extLst>
                <a:ext uri="{63B3BB69-23CF-44E3-9099-C40C66FF867C}">
                  <a14:compatExt spid="_x0000_s23704"/>
                </a:ext>
                <a:ext uri="{FF2B5EF4-FFF2-40B4-BE49-F238E27FC236}">
                  <a16:creationId xmlns:a16="http://schemas.microsoft.com/office/drawing/2014/main" id="{00000000-0008-0000-0100-000098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3705" name="Button 4249" hidden="1">
              <a:extLst>
                <a:ext uri="{63B3BB69-23CF-44E3-9099-C40C66FF867C}">
                  <a14:compatExt spid="_x0000_s23705"/>
                </a:ext>
                <a:ext uri="{FF2B5EF4-FFF2-40B4-BE49-F238E27FC236}">
                  <a16:creationId xmlns:a16="http://schemas.microsoft.com/office/drawing/2014/main" id="{00000000-0008-0000-0100-00009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3724" name="Button 4268" hidden="1">
              <a:extLst>
                <a:ext uri="{63B3BB69-23CF-44E3-9099-C40C66FF867C}">
                  <a14:compatExt spid="_x0000_s23724"/>
                </a:ext>
                <a:ext uri="{FF2B5EF4-FFF2-40B4-BE49-F238E27FC236}">
                  <a16:creationId xmlns:a16="http://schemas.microsoft.com/office/drawing/2014/main" id="{00000000-0008-0000-0100-0000A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3725" name="Button 4269" hidden="1">
              <a:extLst>
                <a:ext uri="{63B3BB69-23CF-44E3-9099-C40C66FF867C}">
                  <a14:compatExt spid="_x0000_s23725"/>
                </a:ext>
                <a:ext uri="{FF2B5EF4-FFF2-40B4-BE49-F238E27FC236}">
                  <a16:creationId xmlns:a16="http://schemas.microsoft.com/office/drawing/2014/main" id="{00000000-0008-0000-0100-0000A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3726" name="Button 4270" hidden="1">
              <a:extLst>
                <a:ext uri="{63B3BB69-23CF-44E3-9099-C40C66FF867C}">
                  <a14:compatExt spid="_x0000_s23726"/>
                </a:ext>
                <a:ext uri="{FF2B5EF4-FFF2-40B4-BE49-F238E27FC236}">
                  <a16:creationId xmlns:a16="http://schemas.microsoft.com/office/drawing/2014/main" id="{00000000-0008-0000-0100-0000A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3727" name="Button 4271" hidden="1">
              <a:extLst>
                <a:ext uri="{63B3BB69-23CF-44E3-9099-C40C66FF867C}">
                  <a14:compatExt spid="_x0000_s23727"/>
                </a:ext>
                <a:ext uri="{FF2B5EF4-FFF2-40B4-BE49-F238E27FC236}">
                  <a16:creationId xmlns:a16="http://schemas.microsoft.com/office/drawing/2014/main" id="{00000000-0008-0000-0100-0000A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3746" name="Button 4290" hidden="1">
              <a:extLst>
                <a:ext uri="{63B3BB69-23CF-44E3-9099-C40C66FF867C}">
                  <a14:compatExt spid="_x0000_s23746"/>
                </a:ext>
                <a:ext uri="{FF2B5EF4-FFF2-40B4-BE49-F238E27FC236}">
                  <a16:creationId xmlns:a16="http://schemas.microsoft.com/office/drawing/2014/main" id="{00000000-0008-0000-0100-0000C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3747" name="Button 4291" hidden="1">
              <a:extLst>
                <a:ext uri="{63B3BB69-23CF-44E3-9099-C40C66FF867C}">
                  <a14:compatExt spid="_x0000_s23747"/>
                </a:ext>
                <a:ext uri="{FF2B5EF4-FFF2-40B4-BE49-F238E27FC236}">
                  <a16:creationId xmlns:a16="http://schemas.microsoft.com/office/drawing/2014/main" id="{00000000-0008-0000-0100-0000C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3748" name="Button 4292" hidden="1">
              <a:extLst>
                <a:ext uri="{63B3BB69-23CF-44E3-9099-C40C66FF867C}">
                  <a14:compatExt spid="_x0000_s23748"/>
                </a:ext>
                <a:ext uri="{FF2B5EF4-FFF2-40B4-BE49-F238E27FC236}">
                  <a16:creationId xmlns:a16="http://schemas.microsoft.com/office/drawing/2014/main" id="{00000000-0008-0000-0100-0000C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3769" name="Button 4313"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3770" name="Button 4314"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3771" name="Button 4315" hidden="1">
              <a:extLst>
                <a:ext uri="{63B3BB69-23CF-44E3-9099-C40C66FF867C}">
                  <a14:compatExt spid="_x0000_s23771"/>
                </a:ext>
                <a:ext uri="{FF2B5EF4-FFF2-40B4-BE49-F238E27FC236}">
                  <a16:creationId xmlns:a16="http://schemas.microsoft.com/office/drawing/2014/main" id="{00000000-0008-0000-0100-0000D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3790" name="Button 4334" hidden="1">
              <a:extLst>
                <a:ext uri="{63B3BB69-23CF-44E3-9099-C40C66FF867C}">
                  <a14:compatExt spid="_x0000_s23790"/>
                </a:ext>
                <a:ext uri="{FF2B5EF4-FFF2-40B4-BE49-F238E27FC236}">
                  <a16:creationId xmlns:a16="http://schemas.microsoft.com/office/drawing/2014/main" id="{00000000-0008-0000-0100-0000E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3791" name="Button 4335" hidden="1">
              <a:extLst>
                <a:ext uri="{63B3BB69-23CF-44E3-9099-C40C66FF867C}">
                  <a14:compatExt spid="_x0000_s23791"/>
                </a:ext>
                <a:ext uri="{FF2B5EF4-FFF2-40B4-BE49-F238E27FC236}">
                  <a16:creationId xmlns:a16="http://schemas.microsoft.com/office/drawing/2014/main" id="{00000000-0008-0000-0100-0000E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3792" name="Button 4336" hidden="1">
              <a:extLst>
                <a:ext uri="{63B3BB69-23CF-44E3-9099-C40C66FF867C}">
                  <a14:compatExt spid="_x0000_s23792"/>
                </a:ext>
                <a:ext uri="{FF2B5EF4-FFF2-40B4-BE49-F238E27FC236}">
                  <a16:creationId xmlns:a16="http://schemas.microsoft.com/office/drawing/2014/main" id="{00000000-0008-0000-0100-0000F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3793" name="Button 4337" hidden="1">
              <a:extLst>
                <a:ext uri="{63B3BB69-23CF-44E3-9099-C40C66FF867C}">
                  <a14:compatExt spid="_x0000_s23793"/>
                </a:ext>
                <a:ext uri="{FF2B5EF4-FFF2-40B4-BE49-F238E27FC236}">
                  <a16:creationId xmlns:a16="http://schemas.microsoft.com/office/drawing/2014/main" id="{00000000-0008-0000-0100-0000F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3794" name="Button 4338" hidden="1">
              <a:extLst>
                <a:ext uri="{63B3BB69-23CF-44E3-9099-C40C66FF867C}">
                  <a14:compatExt spid="_x0000_s23794"/>
                </a:ext>
                <a:ext uri="{FF2B5EF4-FFF2-40B4-BE49-F238E27FC236}">
                  <a16:creationId xmlns:a16="http://schemas.microsoft.com/office/drawing/2014/main" id="{00000000-0008-0000-0100-0000F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3795" name="Button 4339" hidden="1">
              <a:extLst>
                <a:ext uri="{63B3BB69-23CF-44E3-9099-C40C66FF867C}">
                  <a14:compatExt spid="_x0000_s23795"/>
                </a:ext>
                <a:ext uri="{FF2B5EF4-FFF2-40B4-BE49-F238E27FC236}">
                  <a16:creationId xmlns:a16="http://schemas.microsoft.com/office/drawing/2014/main" id="{00000000-0008-0000-0100-0000F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3796" name="Button 4340" hidden="1">
              <a:extLst>
                <a:ext uri="{63B3BB69-23CF-44E3-9099-C40C66FF867C}">
                  <a14:compatExt spid="_x0000_s23796"/>
                </a:ext>
                <a:ext uri="{FF2B5EF4-FFF2-40B4-BE49-F238E27FC236}">
                  <a16:creationId xmlns:a16="http://schemas.microsoft.com/office/drawing/2014/main" id="{00000000-0008-0000-0100-0000F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3797" name="Button 4341" hidden="1">
              <a:extLst>
                <a:ext uri="{63B3BB69-23CF-44E3-9099-C40C66FF867C}">
                  <a14:compatExt spid="_x0000_s23797"/>
                </a:ext>
                <a:ext uri="{FF2B5EF4-FFF2-40B4-BE49-F238E27FC236}">
                  <a16:creationId xmlns:a16="http://schemas.microsoft.com/office/drawing/2014/main" id="{00000000-0008-0000-0100-0000F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3799" name="Button 4343" hidden="1">
              <a:extLst>
                <a:ext uri="{63B3BB69-23CF-44E3-9099-C40C66FF867C}">
                  <a14:compatExt spid="_x0000_s23799"/>
                </a:ext>
                <a:ext uri="{FF2B5EF4-FFF2-40B4-BE49-F238E27FC236}">
                  <a16:creationId xmlns:a16="http://schemas.microsoft.com/office/drawing/2014/main" id="{00000000-0008-0000-0100-0000F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3800" name="Button 4344"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3801" name="Button 4345" hidden="1">
              <a:extLst>
                <a:ext uri="{63B3BB69-23CF-44E3-9099-C40C66FF867C}">
                  <a14:compatExt spid="_x0000_s23801"/>
                </a:ext>
                <a:ext uri="{FF2B5EF4-FFF2-40B4-BE49-F238E27FC236}">
                  <a16:creationId xmlns:a16="http://schemas.microsoft.com/office/drawing/2014/main" id="{00000000-0008-0000-0100-0000F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3803" name="Button 4347" hidden="1">
              <a:extLst>
                <a:ext uri="{63B3BB69-23CF-44E3-9099-C40C66FF867C}">
                  <a14:compatExt spid="_x0000_s23803"/>
                </a:ext>
                <a:ext uri="{FF2B5EF4-FFF2-40B4-BE49-F238E27FC236}">
                  <a16:creationId xmlns:a16="http://schemas.microsoft.com/office/drawing/2014/main" id="{00000000-0008-0000-0100-0000F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3810" name="Button 4354" hidden="1">
              <a:extLst>
                <a:ext uri="{63B3BB69-23CF-44E3-9099-C40C66FF867C}">
                  <a14:compatExt spid="_x0000_s23810"/>
                </a:ext>
                <a:ext uri="{FF2B5EF4-FFF2-40B4-BE49-F238E27FC236}">
                  <a16:creationId xmlns:a16="http://schemas.microsoft.com/office/drawing/2014/main" id="{00000000-0008-0000-0100-00000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3811" name="Button 4355" hidden="1">
              <a:extLst>
                <a:ext uri="{63B3BB69-23CF-44E3-9099-C40C66FF867C}">
                  <a14:compatExt spid="_x0000_s23811"/>
                </a:ext>
                <a:ext uri="{FF2B5EF4-FFF2-40B4-BE49-F238E27FC236}">
                  <a16:creationId xmlns:a16="http://schemas.microsoft.com/office/drawing/2014/main" id="{00000000-0008-0000-0100-00000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3830" name="Button 4374" hidden="1">
              <a:extLst>
                <a:ext uri="{63B3BB69-23CF-44E3-9099-C40C66FF867C}">
                  <a14:compatExt spid="_x0000_s23830"/>
                </a:ext>
                <a:ext uri="{FF2B5EF4-FFF2-40B4-BE49-F238E27FC236}">
                  <a16:creationId xmlns:a16="http://schemas.microsoft.com/office/drawing/2014/main" id="{00000000-0008-0000-0100-00001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3831" name="Button 4375" hidden="1">
              <a:extLst>
                <a:ext uri="{63B3BB69-23CF-44E3-9099-C40C66FF867C}">
                  <a14:compatExt spid="_x0000_s23831"/>
                </a:ext>
                <a:ext uri="{FF2B5EF4-FFF2-40B4-BE49-F238E27FC236}">
                  <a16:creationId xmlns:a16="http://schemas.microsoft.com/office/drawing/2014/main" id="{00000000-0008-0000-0100-00001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3832" name="Button 4376" hidden="1">
              <a:extLst>
                <a:ext uri="{63B3BB69-23CF-44E3-9099-C40C66FF867C}">
                  <a14:compatExt spid="_x0000_s23832"/>
                </a:ext>
                <a:ext uri="{FF2B5EF4-FFF2-40B4-BE49-F238E27FC236}">
                  <a16:creationId xmlns:a16="http://schemas.microsoft.com/office/drawing/2014/main" id="{00000000-0008-0000-0100-00001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3834" name="Button 4378" hidden="1">
              <a:extLst>
                <a:ext uri="{63B3BB69-23CF-44E3-9099-C40C66FF867C}">
                  <a14:compatExt spid="_x0000_s23834"/>
                </a:ext>
                <a:ext uri="{FF2B5EF4-FFF2-40B4-BE49-F238E27FC236}">
                  <a16:creationId xmlns:a16="http://schemas.microsoft.com/office/drawing/2014/main" id="{00000000-0008-0000-0100-00001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3835" name="Button 4379" hidden="1">
              <a:extLst>
                <a:ext uri="{63B3BB69-23CF-44E3-9099-C40C66FF867C}">
                  <a14:compatExt spid="_x0000_s23835"/>
                </a:ext>
                <a:ext uri="{FF2B5EF4-FFF2-40B4-BE49-F238E27FC236}">
                  <a16:creationId xmlns:a16="http://schemas.microsoft.com/office/drawing/2014/main" id="{00000000-0008-0000-0100-00001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3836" name="Button 4380" hidden="1">
              <a:extLst>
                <a:ext uri="{63B3BB69-23CF-44E3-9099-C40C66FF867C}">
                  <a14:compatExt spid="_x0000_s23836"/>
                </a:ext>
                <a:ext uri="{FF2B5EF4-FFF2-40B4-BE49-F238E27FC236}">
                  <a16:creationId xmlns:a16="http://schemas.microsoft.com/office/drawing/2014/main" id="{00000000-0008-0000-0100-00001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3837" name="Button 4381" hidden="1">
              <a:extLst>
                <a:ext uri="{63B3BB69-23CF-44E3-9099-C40C66FF867C}">
                  <a14:compatExt spid="_x0000_s23837"/>
                </a:ext>
                <a:ext uri="{FF2B5EF4-FFF2-40B4-BE49-F238E27FC236}">
                  <a16:creationId xmlns:a16="http://schemas.microsoft.com/office/drawing/2014/main" id="{00000000-0008-0000-0100-00001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3838" name="Button 4382" hidden="1">
              <a:extLst>
                <a:ext uri="{63B3BB69-23CF-44E3-9099-C40C66FF867C}">
                  <a14:compatExt spid="_x0000_s23838"/>
                </a:ext>
                <a:ext uri="{FF2B5EF4-FFF2-40B4-BE49-F238E27FC236}">
                  <a16:creationId xmlns:a16="http://schemas.microsoft.com/office/drawing/2014/main" id="{00000000-0008-0000-0100-00001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3841" name="Button 4385" hidden="1">
              <a:extLst>
                <a:ext uri="{63B3BB69-23CF-44E3-9099-C40C66FF867C}">
                  <a14:compatExt spid="_x0000_s23841"/>
                </a:ext>
                <a:ext uri="{FF2B5EF4-FFF2-40B4-BE49-F238E27FC236}">
                  <a16:creationId xmlns:a16="http://schemas.microsoft.com/office/drawing/2014/main" id="{00000000-0008-0000-0100-00002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3842" name="Button 4386"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23843" name="Button 4387" hidden="1">
              <a:extLst>
                <a:ext uri="{63B3BB69-23CF-44E3-9099-C40C66FF867C}">
                  <a14:compatExt spid="_x0000_s23843"/>
                </a:ext>
                <a:ext uri="{FF2B5EF4-FFF2-40B4-BE49-F238E27FC236}">
                  <a16:creationId xmlns:a16="http://schemas.microsoft.com/office/drawing/2014/main" id="{00000000-0008-0000-0100-00002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3844" name="Button 4388"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3845" name="Button 4389" hidden="1">
              <a:extLst>
                <a:ext uri="{63B3BB69-23CF-44E3-9099-C40C66FF867C}">
                  <a14:compatExt spid="_x0000_s23845"/>
                </a:ext>
                <a:ext uri="{FF2B5EF4-FFF2-40B4-BE49-F238E27FC236}">
                  <a16:creationId xmlns:a16="http://schemas.microsoft.com/office/drawing/2014/main" id="{00000000-0008-0000-0100-00002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3846" name="Button 4390"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23870" name="Button 4414" hidden="1">
              <a:extLst>
                <a:ext uri="{63B3BB69-23CF-44E3-9099-C40C66FF867C}">
                  <a14:compatExt spid="_x0000_s23870"/>
                </a:ext>
                <a:ext uri="{FF2B5EF4-FFF2-40B4-BE49-F238E27FC236}">
                  <a16:creationId xmlns:a16="http://schemas.microsoft.com/office/drawing/2014/main" id="{00000000-0008-0000-0100-00003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3872" name="Button 4416" hidden="1">
              <a:extLst>
                <a:ext uri="{63B3BB69-23CF-44E3-9099-C40C66FF867C}">
                  <a14:compatExt spid="_x0000_s23872"/>
                </a:ext>
                <a:ext uri="{FF2B5EF4-FFF2-40B4-BE49-F238E27FC236}">
                  <a16:creationId xmlns:a16="http://schemas.microsoft.com/office/drawing/2014/main" id="{00000000-0008-0000-0100-00004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3873" name="Button 4417" hidden="1">
              <a:extLst>
                <a:ext uri="{63B3BB69-23CF-44E3-9099-C40C66FF867C}">
                  <a14:compatExt spid="_x0000_s23873"/>
                </a:ext>
                <a:ext uri="{FF2B5EF4-FFF2-40B4-BE49-F238E27FC236}">
                  <a16:creationId xmlns:a16="http://schemas.microsoft.com/office/drawing/2014/main" id="{00000000-0008-0000-0100-00004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3874" name="Button 4418" hidden="1">
              <a:extLst>
                <a:ext uri="{63B3BB69-23CF-44E3-9099-C40C66FF867C}">
                  <a14:compatExt spid="_x0000_s23874"/>
                </a:ext>
                <a:ext uri="{FF2B5EF4-FFF2-40B4-BE49-F238E27FC236}">
                  <a16:creationId xmlns:a16="http://schemas.microsoft.com/office/drawing/2014/main" id="{00000000-0008-0000-0100-00004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3875" name="Button 4419" hidden="1">
              <a:extLst>
                <a:ext uri="{63B3BB69-23CF-44E3-9099-C40C66FF867C}">
                  <a14:compatExt spid="_x0000_s23875"/>
                </a:ext>
                <a:ext uri="{FF2B5EF4-FFF2-40B4-BE49-F238E27FC236}">
                  <a16:creationId xmlns:a16="http://schemas.microsoft.com/office/drawing/2014/main" id="{00000000-0008-0000-0100-00004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3876" name="Button 4420" hidden="1">
              <a:extLst>
                <a:ext uri="{63B3BB69-23CF-44E3-9099-C40C66FF867C}">
                  <a14:compatExt spid="_x0000_s23876"/>
                </a:ext>
                <a:ext uri="{FF2B5EF4-FFF2-40B4-BE49-F238E27FC236}">
                  <a16:creationId xmlns:a16="http://schemas.microsoft.com/office/drawing/2014/main" id="{00000000-0008-0000-0100-00004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3877" name="Button 4421" hidden="1">
              <a:extLst>
                <a:ext uri="{63B3BB69-23CF-44E3-9099-C40C66FF867C}">
                  <a14:compatExt spid="_x0000_s23877"/>
                </a:ext>
                <a:ext uri="{FF2B5EF4-FFF2-40B4-BE49-F238E27FC236}">
                  <a16:creationId xmlns:a16="http://schemas.microsoft.com/office/drawing/2014/main" id="{00000000-0008-0000-0100-00004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3878" name="Button 4422" hidden="1">
              <a:extLst>
                <a:ext uri="{63B3BB69-23CF-44E3-9099-C40C66FF867C}">
                  <a14:compatExt spid="_x0000_s23878"/>
                </a:ext>
                <a:ext uri="{FF2B5EF4-FFF2-40B4-BE49-F238E27FC236}">
                  <a16:creationId xmlns:a16="http://schemas.microsoft.com/office/drawing/2014/main" id="{00000000-0008-0000-0100-00004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3879" name="Button 4423" hidden="1">
              <a:extLst>
                <a:ext uri="{63B3BB69-23CF-44E3-9099-C40C66FF867C}">
                  <a14:compatExt spid="_x0000_s23879"/>
                </a:ext>
                <a:ext uri="{FF2B5EF4-FFF2-40B4-BE49-F238E27FC236}">
                  <a16:creationId xmlns:a16="http://schemas.microsoft.com/office/drawing/2014/main" id="{00000000-0008-0000-0100-00004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3880" name="Button 4424" hidden="1">
              <a:extLst>
                <a:ext uri="{63B3BB69-23CF-44E3-9099-C40C66FF867C}">
                  <a14:compatExt spid="_x0000_s23880"/>
                </a:ext>
                <a:ext uri="{FF2B5EF4-FFF2-40B4-BE49-F238E27FC236}">
                  <a16:creationId xmlns:a16="http://schemas.microsoft.com/office/drawing/2014/main" id="{00000000-0008-0000-0100-00004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3881" name="Button 4425" hidden="1">
              <a:extLst>
                <a:ext uri="{63B3BB69-23CF-44E3-9099-C40C66FF867C}">
                  <a14:compatExt spid="_x0000_s23881"/>
                </a:ext>
                <a:ext uri="{FF2B5EF4-FFF2-40B4-BE49-F238E27FC236}">
                  <a16:creationId xmlns:a16="http://schemas.microsoft.com/office/drawing/2014/main" id="{00000000-0008-0000-0100-00004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3882" name="Button 4426" hidden="1">
              <a:extLst>
                <a:ext uri="{63B3BB69-23CF-44E3-9099-C40C66FF867C}">
                  <a14:compatExt spid="_x0000_s23882"/>
                </a:ext>
                <a:ext uri="{FF2B5EF4-FFF2-40B4-BE49-F238E27FC236}">
                  <a16:creationId xmlns:a16="http://schemas.microsoft.com/office/drawing/2014/main" id="{00000000-0008-0000-0100-00004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3883" name="Button 4427" hidden="1">
              <a:extLst>
                <a:ext uri="{63B3BB69-23CF-44E3-9099-C40C66FF867C}">
                  <a14:compatExt spid="_x0000_s23883"/>
                </a:ext>
                <a:ext uri="{FF2B5EF4-FFF2-40B4-BE49-F238E27FC236}">
                  <a16:creationId xmlns:a16="http://schemas.microsoft.com/office/drawing/2014/main" id="{00000000-0008-0000-0100-00004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3884" name="Button 4428" hidden="1">
              <a:extLst>
                <a:ext uri="{63B3BB69-23CF-44E3-9099-C40C66FF867C}">
                  <a14:compatExt spid="_x0000_s23884"/>
                </a:ext>
                <a:ext uri="{FF2B5EF4-FFF2-40B4-BE49-F238E27FC236}">
                  <a16:creationId xmlns:a16="http://schemas.microsoft.com/office/drawing/2014/main" id="{00000000-0008-0000-0100-00004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3885" name="Button 4429" hidden="1">
              <a:extLst>
                <a:ext uri="{63B3BB69-23CF-44E3-9099-C40C66FF867C}">
                  <a14:compatExt spid="_x0000_s23885"/>
                </a:ext>
                <a:ext uri="{FF2B5EF4-FFF2-40B4-BE49-F238E27FC236}">
                  <a16:creationId xmlns:a16="http://schemas.microsoft.com/office/drawing/2014/main" id="{00000000-0008-0000-0100-00004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3886" name="Button 4430" hidden="1">
              <a:extLst>
                <a:ext uri="{63B3BB69-23CF-44E3-9099-C40C66FF867C}">
                  <a14:compatExt spid="_x0000_s23886"/>
                </a:ext>
                <a:ext uri="{FF2B5EF4-FFF2-40B4-BE49-F238E27FC236}">
                  <a16:creationId xmlns:a16="http://schemas.microsoft.com/office/drawing/2014/main" id="{00000000-0008-0000-0100-00004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3905" name="Button 4449" hidden="1">
              <a:extLst>
                <a:ext uri="{63B3BB69-23CF-44E3-9099-C40C66FF867C}">
                  <a14:compatExt spid="_x0000_s23905"/>
                </a:ext>
                <a:ext uri="{FF2B5EF4-FFF2-40B4-BE49-F238E27FC236}">
                  <a16:creationId xmlns:a16="http://schemas.microsoft.com/office/drawing/2014/main" id="{00000000-0008-0000-0100-00006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3906" name="Button 4450" hidden="1">
              <a:extLst>
                <a:ext uri="{63B3BB69-23CF-44E3-9099-C40C66FF867C}">
                  <a14:compatExt spid="_x0000_s23906"/>
                </a:ext>
                <a:ext uri="{FF2B5EF4-FFF2-40B4-BE49-F238E27FC236}">
                  <a16:creationId xmlns:a16="http://schemas.microsoft.com/office/drawing/2014/main" id="{00000000-0008-0000-0100-00006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3907" name="Button 4451" hidden="1">
              <a:extLst>
                <a:ext uri="{63B3BB69-23CF-44E3-9099-C40C66FF867C}">
                  <a14:compatExt spid="_x0000_s23907"/>
                </a:ext>
                <a:ext uri="{FF2B5EF4-FFF2-40B4-BE49-F238E27FC236}">
                  <a16:creationId xmlns:a16="http://schemas.microsoft.com/office/drawing/2014/main" id="{00000000-0008-0000-0100-00006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3908" name="Button 4452" hidden="1">
              <a:extLst>
                <a:ext uri="{63B3BB69-23CF-44E3-9099-C40C66FF867C}">
                  <a14:compatExt spid="_x0000_s23908"/>
                </a:ext>
                <a:ext uri="{FF2B5EF4-FFF2-40B4-BE49-F238E27FC236}">
                  <a16:creationId xmlns:a16="http://schemas.microsoft.com/office/drawing/2014/main" id="{00000000-0008-0000-0100-00006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3909" name="Button 4453" hidden="1">
              <a:extLst>
                <a:ext uri="{63B3BB69-23CF-44E3-9099-C40C66FF867C}">
                  <a14:compatExt spid="_x0000_s23909"/>
                </a:ext>
                <a:ext uri="{FF2B5EF4-FFF2-40B4-BE49-F238E27FC236}">
                  <a16:creationId xmlns:a16="http://schemas.microsoft.com/office/drawing/2014/main" id="{00000000-0008-0000-0100-00006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23910" name="Button 4454" hidden="1">
              <a:extLst>
                <a:ext uri="{63B3BB69-23CF-44E3-9099-C40C66FF867C}">
                  <a14:compatExt spid="_x0000_s23910"/>
                </a:ext>
                <a:ext uri="{FF2B5EF4-FFF2-40B4-BE49-F238E27FC236}">
                  <a16:creationId xmlns:a16="http://schemas.microsoft.com/office/drawing/2014/main" id="{00000000-0008-0000-0100-00006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3911" name="Button 4455" hidden="1">
              <a:extLst>
                <a:ext uri="{63B3BB69-23CF-44E3-9099-C40C66FF867C}">
                  <a14:compatExt spid="_x0000_s23911"/>
                </a:ext>
                <a:ext uri="{FF2B5EF4-FFF2-40B4-BE49-F238E27FC236}">
                  <a16:creationId xmlns:a16="http://schemas.microsoft.com/office/drawing/2014/main" id="{00000000-0008-0000-0100-00006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3912" name="Button 4456" hidden="1">
              <a:extLst>
                <a:ext uri="{63B3BB69-23CF-44E3-9099-C40C66FF867C}">
                  <a14:compatExt spid="_x0000_s23912"/>
                </a:ext>
                <a:ext uri="{FF2B5EF4-FFF2-40B4-BE49-F238E27FC236}">
                  <a16:creationId xmlns:a16="http://schemas.microsoft.com/office/drawing/2014/main" id="{00000000-0008-0000-0100-00006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3913" name="Button 4457" hidden="1">
              <a:extLst>
                <a:ext uri="{63B3BB69-23CF-44E3-9099-C40C66FF867C}">
                  <a14:compatExt spid="_x0000_s23913"/>
                </a:ext>
                <a:ext uri="{FF2B5EF4-FFF2-40B4-BE49-F238E27FC236}">
                  <a16:creationId xmlns:a16="http://schemas.microsoft.com/office/drawing/2014/main" id="{00000000-0008-0000-0100-00006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3914" name="Button 4458" hidden="1">
              <a:extLst>
                <a:ext uri="{63B3BB69-23CF-44E3-9099-C40C66FF867C}">
                  <a14:compatExt spid="_x0000_s23914"/>
                </a:ext>
                <a:ext uri="{FF2B5EF4-FFF2-40B4-BE49-F238E27FC236}">
                  <a16:creationId xmlns:a16="http://schemas.microsoft.com/office/drawing/2014/main" id="{00000000-0008-0000-0100-00006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3915" name="Button 4459" hidden="1">
              <a:extLst>
                <a:ext uri="{63B3BB69-23CF-44E3-9099-C40C66FF867C}">
                  <a14:compatExt spid="_x0000_s23915"/>
                </a:ext>
                <a:ext uri="{FF2B5EF4-FFF2-40B4-BE49-F238E27FC236}">
                  <a16:creationId xmlns:a16="http://schemas.microsoft.com/office/drawing/2014/main" id="{00000000-0008-0000-0100-00006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3916" name="Button 4460" hidden="1">
              <a:extLst>
                <a:ext uri="{63B3BB69-23CF-44E3-9099-C40C66FF867C}">
                  <a14:compatExt spid="_x0000_s23916"/>
                </a:ext>
                <a:ext uri="{FF2B5EF4-FFF2-40B4-BE49-F238E27FC236}">
                  <a16:creationId xmlns:a16="http://schemas.microsoft.com/office/drawing/2014/main" id="{00000000-0008-0000-0100-00006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3917" name="Button 4461" hidden="1">
              <a:extLst>
                <a:ext uri="{63B3BB69-23CF-44E3-9099-C40C66FF867C}">
                  <a14:compatExt spid="_x0000_s23917"/>
                </a:ext>
                <a:ext uri="{FF2B5EF4-FFF2-40B4-BE49-F238E27FC236}">
                  <a16:creationId xmlns:a16="http://schemas.microsoft.com/office/drawing/2014/main" id="{00000000-0008-0000-0100-00006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3918" name="Button 4462" hidden="1">
              <a:extLst>
                <a:ext uri="{63B3BB69-23CF-44E3-9099-C40C66FF867C}">
                  <a14:compatExt spid="_x0000_s23918"/>
                </a:ext>
                <a:ext uri="{FF2B5EF4-FFF2-40B4-BE49-F238E27FC236}">
                  <a16:creationId xmlns:a16="http://schemas.microsoft.com/office/drawing/2014/main" id="{00000000-0008-0000-0100-00006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3919" name="Button 4463" hidden="1">
              <a:extLst>
                <a:ext uri="{63B3BB69-23CF-44E3-9099-C40C66FF867C}">
                  <a14:compatExt spid="_x0000_s23919"/>
                </a:ext>
                <a:ext uri="{FF2B5EF4-FFF2-40B4-BE49-F238E27FC236}">
                  <a16:creationId xmlns:a16="http://schemas.microsoft.com/office/drawing/2014/main" id="{00000000-0008-0000-0100-00006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3920" name="Button 4464" hidden="1">
              <a:extLst>
                <a:ext uri="{63B3BB69-23CF-44E3-9099-C40C66FF867C}">
                  <a14:compatExt spid="_x0000_s23920"/>
                </a:ext>
                <a:ext uri="{FF2B5EF4-FFF2-40B4-BE49-F238E27FC236}">
                  <a16:creationId xmlns:a16="http://schemas.microsoft.com/office/drawing/2014/main" id="{00000000-0008-0000-0100-00007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3921" name="Button 4465"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3941" name="Button 4485" hidden="1">
              <a:extLst>
                <a:ext uri="{63B3BB69-23CF-44E3-9099-C40C66FF867C}">
                  <a14:compatExt spid="_x0000_s23941"/>
                </a:ext>
                <a:ext uri="{FF2B5EF4-FFF2-40B4-BE49-F238E27FC236}">
                  <a16:creationId xmlns:a16="http://schemas.microsoft.com/office/drawing/2014/main" id="{00000000-0008-0000-0100-00008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3942" name="Button 4486" hidden="1">
              <a:extLst>
                <a:ext uri="{63B3BB69-23CF-44E3-9099-C40C66FF867C}">
                  <a14:compatExt spid="_x0000_s23942"/>
                </a:ext>
                <a:ext uri="{FF2B5EF4-FFF2-40B4-BE49-F238E27FC236}">
                  <a16:creationId xmlns:a16="http://schemas.microsoft.com/office/drawing/2014/main" id="{00000000-0008-0000-0100-00008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3943" name="Button 4487" hidden="1">
              <a:extLst>
                <a:ext uri="{63B3BB69-23CF-44E3-9099-C40C66FF867C}">
                  <a14:compatExt spid="_x0000_s23943"/>
                </a:ext>
                <a:ext uri="{FF2B5EF4-FFF2-40B4-BE49-F238E27FC236}">
                  <a16:creationId xmlns:a16="http://schemas.microsoft.com/office/drawing/2014/main" id="{00000000-0008-0000-0100-00008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3945" name="Button 4489" hidden="1">
              <a:extLst>
                <a:ext uri="{63B3BB69-23CF-44E3-9099-C40C66FF867C}">
                  <a14:compatExt spid="_x0000_s23945"/>
                </a:ext>
                <a:ext uri="{FF2B5EF4-FFF2-40B4-BE49-F238E27FC236}">
                  <a16:creationId xmlns:a16="http://schemas.microsoft.com/office/drawing/2014/main" id="{00000000-0008-0000-0100-00008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3946" name="Button 4490"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3965" name="Button 4509"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3966" name="Button 4510"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3967" name="Button 4511" hidden="1">
              <a:extLst>
                <a:ext uri="{63B3BB69-23CF-44E3-9099-C40C66FF867C}">
                  <a14:compatExt spid="_x0000_s23967"/>
                </a:ext>
                <a:ext uri="{FF2B5EF4-FFF2-40B4-BE49-F238E27FC236}">
                  <a16:creationId xmlns:a16="http://schemas.microsoft.com/office/drawing/2014/main" id="{00000000-0008-0000-0100-00009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3968" name="Button 4512" hidden="1">
              <a:extLst>
                <a:ext uri="{63B3BB69-23CF-44E3-9099-C40C66FF867C}">
                  <a14:compatExt spid="_x0000_s23968"/>
                </a:ext>
                <a:ext uri="{FF2B5EF4-FFF2-40B4-BE49-F238E27FC236}">
                  <a16:creationId xmlns:a16="http://schemas.microsoft.com/office/drawing/2014/main" id="{00000000-0008-0000-0100-0000A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3969" name="Button 4513" hidden="1">
              <a:extLst>
                <a:ext uri="{63B3BB69-23CF-44E3-9099-C40C66FF867C}">
                  <a14:compatExt spid="_x0000_s23969"/>
                </a:ext>
                <a:ext uri="{FF2B5EF4-FFF2-40B4-BE49-F238E27FC236}">
                  <a16:creationId xmlns:a16="http://schemas.microsoft.com/office/drawing/2014/main" id="{00000000-0008-0000-0100-0000A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3988" name="Button 4532" hidden="1">
              <a:extLst>
                <a:ext uri="{63B3BB69-23CF-44E3-9099-C40C66FF867C}">
                  <a14:compatExt spid="_x0000_s23988"/>
                </a:ext>
                <a:ext uri="{FF2B5EF4-FFF2-40B4-BE49-F238E27FC236}">
                  <a16:creationId xmlns:a16="http://schemas.microsoft.com/office/drawing/2014/main" id="{00000000-0008-0000-0100-0000B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3989" name="Button 4533" hidden="1">
              <a:extLst>
                <a:ext uri="{63B3BB69-23CF-44E3-9099-C40C66FF867C}">
                  <a14:compatExt spid="_x0000_s23989"/>
                </a:ext>
                <a:ext uri="{FF2B5EF4-FFF2-40B4-BE49-F238E27FC236}">
                  <a16:creationId xmlns:a16="http://schemas.microsoft.com/office/drawing/2014/main" id="{00000000-0008-0000-0100-0000B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3990" name="Button 4534" hidden="1">
              <a:extLst>
                <a:ext uri="{63B3BB69-23CF-44E3-9099-C40C66FF867C}">
                  <a14:compatExt spid="_x0000_s23990"/>
                </a:ext>
                <a:ext uri="{FF2B5EF4-FFF2-40B4-BE49-F238E27FC236}">
                  <a16:creationId xmlns:a16="http://schemas.microsoft.com/office/drawing/2014/main" id="{00000000-0008-0000-0100-0000B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23991" name="Button 4535" hidden="1">
              <a:extLst>
                <a:ext uri="{63B3BB69-23CF-44E3-9099-C40C66FF867C}">
                  <a14:compatExt spid="_x0000_s23991"/>
                </a:ext>
                <a:ext uri="{FF2B5EF4-FFF2-40B4-BE49-F238E27FC236}">
                  <a16:creationId xmlns:a16="http://schemas.microsoft.com/office/drawing/2014/main" id="{00000000-0008-0000-0100-0000B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3992" name="Button 4536" hidden="1">
              <a:extLst>
                <a:ext uri="{63B3BB69-23CF-44E3-9099-C40C66FF867C}">
                  <a14:compatExt spid="_x0000_s23992"/>
                </a:ext>
                <a:ext uri="{FF2B5EF4-FFF2-40B4-BE49-F238E27FC236}">
                  <a16:creationId xmlns:a16="http://schemas.microsoft.com/office/drawing/2014/main" id="{00000000-0008-0000-0100-0000B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4011" name="Button 4555" hidden="1">
              <a:extLst>
                <a:ext uri="{63B3BB69-23CF-44E3-9099-C40C66FF867C}">
                  <a14:compatExt spid="_x0000_s24011"/>
                </a:ext>
                <a:ext uri="{FF2B5EF4-FFF2-40B4-BE49-F238E27FC236}">
                  <a16:creationId xmlns:a16="http://schemas.microsoft.com/office/drawing/2014/main" id="{00000000-0008-0000-0100-0000C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4012" name="Button 4556"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4014" name="Button 4558"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4016" name="Button 4560"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4036" name="Button 4580" hidden="1">
              <a:extLst>
                <a:ext uri="{63B3BB69-23CF-44E3-9099-C40C66FF867C}">
                  <a14:compatExt spid="_x0000_s24036"/>
                </a:ext>
                <a:ext uri="{FF2B5EF4-FFF2-40B4-BE49-F238E27FC236}">
                  <a16:creationId xmlns:a16="http://schemas.microsoft.com/office/drawing/2014/main" id="{00000000-0008-0000-0100-0000E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4058" name="Button 4602" hidden="1">
              <a:extLst>
                <a:ext uri="{63B3BB69-23CF-44E3-9099-C40C66FF867C}">
                  <a14:compatExt spid="_x0000_s24058"/>
                </a:ext>
                <a:ext uri="{FF2B5EF4-FFF2-40B4-BE49-F238E27FC236}">
                  <a16:creationId xmlns:a16="http://schemas.microsoft.com/office/drawing/2014/main" id="{00000000-0008-0000-0100-0000F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4059" name="Button 4603" hidden="1">
              <a:extLst>
                <a:ext uri="{63B3BB69-23CF-44E3-9099-C40C66FF867C}">
                  <a14:compatExt spid="_x0000_s24059"/>
                </a:ext>
                <a:ext uri="{FF2B5EF4-FFF2-40B4-BE49-F238E27FC236}">
                  <a16:creationId xmlns:a16="http://schemas.microsoft.com/office/drawing/2014/main" id="{00000000-0008-0000-0100-0000F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4060" name="Button 4604" hidden="1">
              <a:extLst>
                <a:ext uri="{63B3BB69-23CF-44E3-9099-C40C66FF867C}">
                  <a14:compatExt spid="_x0000_s24060"/>
                </a:ext>
                <a:ext uri="{FF2B5EF4-FFF2-40B4-BE49-F238E27FC236}">
                  <a16:creationId xmlns:a16="http://schemas.microsoft.com/office/drawing/2014/main" id="{00000000-0008-0000-0100-0000F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4061" name="Button 4605" hidden="1">
              <a:extLst>
                <a:ext uri="{63B3BB69-23CF-44E3-9099-C40C66FF867C}">
                  <a14:compatExt spid="_x0000_s24061"/>
                </a:ext>
                <a:ext uri="{FF2B5EF4-FFF2-40B4-BE49-F238E27FC236}">
                  <a16:creationId xmlns:a16="http://schemas.microsoft.com/office/drawing/2014/main" id="{00000000-0008-0000-0100-0000F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4081" name="Button 4625"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4082" name="Button 4626" hidden="1">
              <a:extLst>
                <a:ext uri="{63B3BB69-23CF-44E3-9099-C40C66FF867C}">
                  <a14:compatExt spid="_x0000_s24082"/>
                </a:ext>
                <a:ext uri="{FF2B5EF4-FFF2-40B4-BE49-F238E27FC236}">
                  <a16:creationId xmlns:a16="http://schemas.microsoft.com/office/drawing/2014/main" id="{00000000-0008-0000-0100-00001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4084" name="Button 4628" hidden="1">
              <a:extLst>
                <a:ext uri="{63B3BB69-23CF-44E3-9099-C40C66FF867C}">
                  <a14:compatExt spid="_x0000_s24084"/>
                </a:ext>
                <a:ext uri="{FF2B5EF4-FFF2-40B4-BE49-F238E27FC236}">
                  <a16:creationId xmlns:a16="http://schemas.microsoft.com/office/drawing/2014/main" id="{00000000-0008-0000-0100-00001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4103" name="Button 4647" hidden="1">
              <a:extLst>
                <a:ext uri="{63B3BB69-23CF-44E3-9099-C40C66FF867C}">
                  <a14:compatExt spid="_x0000_s24103"/>
                </a:ext>
                <a:ext uri="{FF2B5EF4-FFF2-40B4-BE49-F238E27FC236}">
                  <a16:creationId xmlns:a16="http://schemas.microsoft.com/office/drawing/2014/main" id="{00000000-0008-0000-0100-000027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4104" name="Button 4648" hidden="1">
              <a:extLst>
                <a:ext uri="{63B3BB69-23CF-44E3-9099-C40C66FF867C}">
                  <a14:compatExt spid="_x0000_s24104"/>
                </a:ext>
                <a:ext uri="{FF2B5EF4-FFF2-40B4-BE49-F238E27FC236}">
                  <a16:creationId xmlns:a16="http://schemas.microsoft.com/office/drawing/2014/main" id="{00000000-0008-0000-0100-00002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4105" name="Button 4649"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4125" name="Button 4669" hidden="1">
              <a:extLst>
                <a:ext uri="{63B3BB69-23CF-44E3-9099-C40C66FF867C}">
                  <a14:compatExt spid="_x0000_s24125"/>
                </a:ext>
                <a:ext uri="{FF2B5EF4-FFF2-40B4-BE49-F238E27FC236}">
                  <a16:creationId xmlns:a16="http://schemas.microsoft.com/office/drawing/2014/main" id="{00000000-0008-0000-0100-00003D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4126" name="Button 4670" hidden="1">
              <a:extLst>
                <a:ext uri="{63B3BB69-23CF-44E3-9099-C40C66FF867C}">
                  <a14:compatExt spid="_x0000_s24126"/>
                </a:ext>
                <a:ext uri="{FF2B5EF4-FFF2-40B4-BE49-F238E27FC236}">
                  <a16:creationId xmlns:a16="http://schemas.microsoft.com/office/drawing/2014/main" id="{00000000-0008-0000-0100-00003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4127" name="Button 4671" hidden="1">
              <a:extLst>
                <a:ext uri="{63B3BB69-23CF-44E3-9099-C40C66FF867C}">
                  <a14:compatExt spid="_x0000_s24127"/>
                </a:ext>
                <a:ext uri="{FF2B5EF4-FFF2-40B4-BE49-F238E27FC236}">
                  <a16:creationId xmlns:a16="http://schemas.microsoft.com/office/drawing/2014/main" id="{00000000-0008-0000-0100-00003F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4128" name="Button 4672" hidden="1">
              <a:extLst>
                <a:ext uri="{63B3BB69-23CF-44E3-9099-C40C66FF867C}">
                  <a14:compatExt spid="_x0000_s24128"/>
                </a:ext>
                <a:ext uri="{FF2B5EF4-FFF2-40B4-BE49-F238E27FC236}">
                  <a16:creationId xmlns:a16="http://schemas.microsoft.com/office/drawing/2014/main" id="{00000000-0008-0000-0100-00004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4147" name="Button 4691" hidden="1">
              <a:extLst>
                <a:ext uri="{63B3BB69-23CF-44E3-9099-C40C66FF867C}">
                  <a14:compatExt spid="_x0000_s24147"/>
                </a:ext>
                <a:ext uri="{FF2B5EF4-FFF2-40B4-BE49-F238E27FC236}">
                  <a16:creationId xmlns:a16="http://schemas.microsoft.com/office/drawing/2014/main" id="{00000000-0008-0000-0100-000053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4148" name="Button 4692" hidden="1">
              <a:extLst>
                <a:ext uri="{63B3BB69-23CF-44E3-9099-C40C66FF867C}">
                  <a14:compatExt spid="_x0000_s24148"/>
                </a:ext>
                <a:ext uri="{FF2B5EF4-FFF2-40B4-BE49-F238E27FC236}">
                  <a16:creationId xmlns:a16="http://schemas.microsoft.com/office/drawing/2014/main" id="{00000000-0008-0000-0100-00005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4149" name="Button 4693" hidden="1">
              <a:extLst>
                <a:ext uri="{63B3BB69-23CF-44E3-9099-C40C66FF867C}">
                  <a14:compatExt spid="_x0000_s24149"/>
                </a:ext>
                <a:ext uri="{FF2B5EF4-FFF2-40B4-BE49-F238E27FC236}">
                  <a16:creationId xmlns:a16="http://schemas.microsoft.com/office/drawing/2014/main" id="{00000000-0008-0000-0100-000055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4150" name="Button 4694" hidden="1">
              <a:extLst>
                <a:ext uri="{63B3BB69-23CF-44E3-9099-C40C66FF867C}">
                  <a14:compatExt spid="_x0000_s24150"/>
                </a:ext>
                <a:ext uri="{FF2B5EF4-FFF2-40B4-BE49-F238E27FC236}">
                  <a16:creationId xmlns:a16="http://schemas.microsoft.com/office/drawing/2014/main" id="{00000000-0008-0000-0100-00005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4169" name="Button 4713" hidden="1">
              <a:extLst>
                <a:ext uri="{63B3BB69-23CF-44E3-9099-C40C66FF867C}">
                  <a14:compatExt spid="_x0000_s24169"/>
                </a:ext>
                <a:ext uri="{FF2B5EF4-FFF2-40B4-BE49-F238E27FC236}">
                  <a16:creationId xmlns:a16="http://schemas.microsoft.com/office/drawing/2014/main" id="{00000000-0008-0000-0100-00006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4170" name="Button 4714" hidden="1">
              <a:extLst>
                <a:ext uri="{63B3BB69-23CF-44E3-9099-C40C66FF867C}">
                  <a14:compatExt spid="_x0000_s24170"/>
                </a:ext>
                <a:ext uri="{FF2B5EF4-FFF2-40B4-BE49-F238E27FC236}">
                  <a16:creationId xmlns:a16="http://schemas.microsoft.com/office/drawing/2014/main" id="{00000000-0008-0000-0100-00006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4171" name="Button 4715" hidden="1">
              <a:extLst>
                <a:ext uri="{63B3BB69-23CF-44E3-9099-C40C66FF867C}">
                  <a14:compatExt spid="_x0000_s24171"/>
                </a:ext>
                <a:ext uri="{FF2B5EF4-FFF2-40B4-BE49-F238E27FC236}">
                  <a16:creationId xmlns:a16="http://schemas.microsoft.com/office/drawing/2014/main" id="{00000000-0008-0000-0100-00006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24172" name="Button 4716" hidden="1">
              <a:extLst>
                <a:ext uri="{63B3BB69-23CF-44E3-9099-C40C66FF867C}">
                  <a14:compatExt spid="_x0000_s24172"/>
                </a:ext>
                <a:ext uri="{FF2B5EF4-FFF2-40B4-BE49-F238E27FC236}">
                  <a16:creationId xmlns:a16="http://schemas.microsoft.com/office/drawing/2014/main" id="{00000000-0008-0000-0100-00006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4191" name="Button 4735" hidden="1">
              <a:extLst>
                <a:ext uri="{63B3BB69-23CF-44E3-9099-C40C66FF867C}">
                  <a14:compatExt spid="_x0000_s24191"/>
                </a:ext>
                <a:ext uri="{FF2B5EF4-FFF2-40B4-BE49-F238E27FC236}">
                  <a16:creationId xmlns:a16="http://schemas.microsoft.com/office/drawing/2014/main" id="{00000000-0008-0000-0100-00007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4192" name="Button 4736"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4193" name="Button 4737"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4194" name="Button 4738" hidden="1">
              <a:extLst>
                <a:ext uri="{63B3BB69-23CF-44E3-9099-C40C66FF867C}">
                  <a14:compatExt spid="_x0000_s24194"/>
                </a:ext>
                <a:ext uri="{FF2B5EF4-FFF2-40B4-BE49-F238E27FC236}">
                  <a16:creationId xmlns:a16="http://schemas.microsoft.com/office/drawing/2014/main" id="{00000000-0008-0000-0100-00008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14"/>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316" displayName="Table316" ref="A121:F122" totalsRowShown="0">
  <autoFilter ref="A121:F122" xr:uid="{00000000-0009-0000-0100-00000F000000}"/>
  <tableColumns count="6">
    <tableColumn id="1" xr3:uid="{00000000-0010-0000-0900-000001000000}" name="CÓDIGO CATÁLOGO" dataDxfId="5"/>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3000000}" name="Table3102" displayName="Table3102" ref="A1632:F1639" totalsRowShown="0">
  <autoFilter ref="A1632:F1639" xr:uid="{00000000-0009-0000-0100-000065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4000000}" name="Table3103" displayName="Table3103" ref="A1649:F1656" totalsRowShown="0">
  <autoFilter ref="A1649:F1656" xr:uid="{00000000-0009-0000-0100-000066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le3104" displayName="Table3104" ref="A1666:F1673" totalsRowShown="0">
  <autoFilter ref="A1666:F1673" xr:uid="{00000000-0009-0000-0100-000067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le3105" displayName="Table3105" ref="A1683:F1690" totalsRowShown="0">
  <autoFilter ref="A1683:F1690" xr:uid="{00000000-0009-0000-0100-000068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7000000}" name="Table3106" displayName="Table3106" ref="A1700:F1702" totalsRowShown="0">
  <autoFilter ref="A1700:F1702" xr:uid="{00000000-0009-0000-0100-000069000000}"/>
  <tableColumns count="6">
    <tableColumn id="1" xr3:uid="{00000000-0010-0000-6700-000001000000}" name="CÓDIGO CATÁLOGO"/>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8000000}" name="Table3107" displayName="Table3107" ref="A1712:F1714" totalsRowShown="0">
  <autoFilter ref="A1712:F1714" xr:uid="{00000000-0009-0000-0100-00006A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9000000}" name="Table3108" displayName="Table3108" ref="A1724:F1726" totalsRowShown="0">
  <autoFilter ref="A1724:F1726" xr:uid="{00000000-0009-0000-0100-00006B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A000000}" name="Table3109" displayName="Table3109" ref="A1736:F1738" totalsRowShown="0">
  <autoFilter ref="A1736:F1738" xr:uid="{00000000-0009-0000-0100-00006C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B000000}" name="Table3110" displayName="Table3110" ref="A1748:F1750" totalsRowShown="0">
  <autoFilter ref="A1748:F1750" xr:uid="{00000000-0009-0000-0100-00006D000000}"/>
  <tableColumns count="6">
    <tableColumn id="1" xr3:uid="{00000000-0010-0000-6B00-000001000000}" name="CÓDIGO CATÁLOGO"/>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C000000}" name="Table3111" displayName="Table3111" ref="A1760:F1762" totalsRowShown="0">
  <autoFilter ref="A1760:F1762" xr:uid="{00000000-0009-0000-0100-00006E000000}"/>
  <tableColumns count="6">
    <tableColumn id="1" xr3:uid="{00000000-0010-0000-6C00-000001000000}" name="CÓDIGO CATÁLOGO"/>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A000000}" name="Table317" displayName="Table317" ref="A132:F133" totalsRowShown="0">
  <autoFilter ref="A132:F133" xr:uid="{00000000-0009-0000-0100-000010000000}"/>
  <tableColumns count="6">
    <tableColumn id="1" xr3:uid="{00000000-0010-0000-0A00-000001000000}" name="CÓDIGO CATÁLOGO" dataDxfId="4"/>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D000000}" name="Table3112" displayName="Table3112" ref="A1772:F1774" totalsRowShown="0">
  <autoFilter ref="A1772:F1774" xr:uid="{00000000-0009-0000-0100-00006F000000}"/>
  <tableColumns count="6">
    <tableColumn id="1" xr3:uid="{00000000-0010-0000-6D00-000001000000}" name="CÓDIGO CATÁLOGO"/>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E000000}" name="Table3113" displayName="Table3113" ref="A1784:F1786" totalsRowShown="0">
  <autoFilter ref="A1784:F1786" xr:uid="{00000000-0009-0000-0100-000070000000}"/>
  <tableColumns count="6">
    <tableColumn id="1" xr3:uid="{00000000-0010-0000-6E00-000001000000}" name="CÓDIGO CATÁLOGO"/>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F000000}" name="Table3114" displayName="Table3114" ref="A1796:F1798" totalsRowShown="0">
  <autoFilter ref="A1796:F1798" xr:uid="{00000000-0009-0000-0100-000071000000}"/>
  <tableColumns count="6">
    <tableColumn id="1" xr3:uid="{00000000-0010-0000-6F00-000001000000}" name="CÓDIGO CATÁLOGO"/>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0000000}" name="Table3115" displayName="Table3115" ref="A1808:F1810" totalsRowShown="0">
  <autoFilter ref="A1808:F1810" xr:uid="{00000000-0009-0000-0100-000072000000}"/>
  <tableColumns count="6">
    <tableColumn id="1" xr3:uid="{00000000-0010-0000-7000-000001000000}" name="CÓDIGO CATÁLOGO"/>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3116" displayName="Table3116" ref="A1820:F1822" totalsRowShown="0">
  <autoFilter ref="A1820:F1822" xr:uid="{00000000-0009-0000-0100-000073000000}"/>
  <tableColumns count="6">
    <tableColumn id="1" xr3:uid="{00000000-0010-0000-7100-000001000000}" name="CÓDIGO CATÁLOGO"/>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2000000}" name="Table3117" displayName="Table3117" ref="A1832:F1834" totalsRowShown="0">
  <autoFilter ref="A1832:F1834" xr:uid="{00000000-0009-0000-0100-000074000000}"/>
  <tableColumns count="6">
    <tableColumn id="1" xr3:uid="{00000000-0010-0000-7200-000001000000}" name="CÓDIGO CATÁLOGO"/>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3000000}" name="Table3118" displayName="Table3118" ref="A1844:F1859" totalsRowShown="0">
  <autoFilter ref="A1844:F1859" xr:uid="{00000000-0009-0000-0100-000075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4000000}" name="Table3119" displayName="Table3119" ref="A1869:F1884" totalsRowShown="0">
  <autoFilter ref="A1869:F1884" xr:uid="{00000000-0009-0000-0100-000076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5000000}" name="Table3120" displayName="Table3120" ref="A1894:F1909" totalsRowShown="0">
  <autoFilter ref="A1894:F1909" xr:uid="{00000000-0009-0000-0100-000077000000}"/>
  <tableColumns count="6">
    <tableColumn id="1" xr3:uid="{00000000-0010-0000-7500-000001000000}" name="CÓDIGO CATÁLOGO"/>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6000000}" name="Table3121" displayName="Table3121" ref="A1919:F1934" totalsRowShown="0">
  <autoFilter ref="A1919:F1934" xr:uid="{00000000-0009-0000-0100-000078000000}"/>
  <tableColumns count="6">
    <tableColumn id="1" xr3:uid="{00000000-0010-0000-7600-000001000000}" name="CÓDIGO CATÁLOGO"/>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B000000}" name="Table318" displayName="Table318" ref="A143:F144" totalsRowShown="0">
  <autoFilter ref="A143:F144" xr:uid="{00000000-0009-0000-0100-000011000000}"/>
  <tableColumns count="6">
    <tableColumn id="1" xr3:uid="{00000000-0010-0000-0B00-000001000000}" name="CÓDIGO CATÁLOGO" dataDxfId="3"/>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7000000}" name="Table3122" displayName="Table3122" ref="A1944:F1947" totalsRowShown="0">
  <autoFilter ref="A1944:F1947" xr:uid="{00000000-0009-0000-0100-000079000000}"/>
  <tableColumns count="6">
    <tableColumn id="1" xr3:uid="{00000000-0010-0000-7700-000001000000}" name="CÓDIGO CATÁLOGO"/>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8000000}" name="Table3123" displayName="Table3123" ref="A1957:F1960" totalsRowShown="0">
  <autoFilter ref="A1957:F1960" xr:uid="{00000000-0009-0000-0100-00007A000000}"/>
  <tableColumns count="6">
    <tableColumn id="1" xr3:uid="{00000000-0010-0000-7800-000001000000}" name="CÓDIGO CATÁLOGO"/>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9000000}" name="Table3124" displayName="Table3124" ref="A1970:F1973" totalsRowShown="0">
  <autoFilter ref="A1970:F1973" xr:uid="{00000000-0009-0000-0100-00007B000000}"/>
  <tableColumns count="6">
    <tableColumn id="1" xr3:uid="{00000000-0010-0000-7900-000001000000}" name="CÓDIGO CATÁLOGO"/>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A000000}" name="Table3125" displayName="Table3125" ref="A1983:F1986" totalsRowShown="0">
  <autoFilter ref="A1983:F1986" xr:uid="{00000000-0009-0000-0100-00007C000000}"/>
  <tableColumns count="6">
    <tableColumn id="1" xr3:uid="{00000000-0010-0000-7A00-000001000000}" name="CÓDIGO CATÁLOGO"/>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B000000}" name="Table3126" displayName="Table3126" ref="A1996:F1998" totalsRowShown="0">
  <autoFilter ref="A1996:F1998" xr:uid="{00000000-0009-0000-0100-00007D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C000000}" name="Table3127" displayName="Table3127" ref="A2008:F2010" totalsRowShown="0">
  <autoFilter ref="A2008:F2010" xr:uid="{00000000-0009-0000-0100-00007E000000}"/>
  <tableColumns count="6">
    <tableColumn id="1" xr3:uid="{00000000-0010-0000-7C00-000001000000}" name="CÓDIGO CATÁLOGO"/>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D000000}" name="Table3128" displayName="Table3128" ref="A2020:F2022" totalsRowShown="0">
  <autoFilter ref="A2020:F2022" xr:uid="{00000000-0009-0000-0100-00007F000000}"/>
  <tableColumns count="6">
    <tableColumn id="1" xr3:uid="{00000000-0010-0000-7D00-000001000000}" name="CÓDIGO CATÁLOGO"/>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E000000}" name="Table3129" displayName="Table3129" ref="A2032:F2034" totalsRowShown="0">
  <autoFilter ref="A2032:F2034" xr:uid="{00000000-0009-0000-0100-000080000000}"/>
  <tableColumns count="6">
    <tableColumn id="1" xr3:uid="{00000000-0010-0000-7E00-000001000000}" name="CÓDIGO CATÁLOGO"/>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3130" displayName="Table3130" ref="A2044:F2046" totalsRowShown="0">
  <autoFilter ref="A2044:F2046" xr:uid="{00000000-0009-0000-0100-000081000000}"/>
  <tableColumns count="6">
    <tableColumn id="1" xr3:uid="{00000000-0010-0000-7F00-000001000000}" name="CÓDIGO CATÁLOGO"/>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0000000}" name="Table3131" displayName="Table3131" ref="A2056:F2058" totalsRowShown="0">
  <autoFilter ref="A2056:F2058" xr:uid="{00000000-0009-0000-0100-000082000000}"/>
  <tableColumns count="6">
    <tableColumn id="1" xr3:uid="{00000000-0010-0000-8000-000001000000}" name="CÓDIGO CATÁLOGO"/>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C000000}" name="Table319" displayName="Table319" ref="A154:F161" totalsRowShown="0">
  <autoFilter ref="A154:F161" xr:uid="{00000000-0009-0000-0100-000012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1000000}" name="Table3132" displayName="Table3132" ref="A2068:F2070" totalsRowShown="0">
  <autoFilter ref="A2068:F2070" xr:uid="{00000000-0009-0000-0100-000083000000}"/>
  <tableColumns count="6">
    <tableColumn id="1" xr3:uid="{00000000-0010-0000-8100-000001000000}" name="CÓDIGO CATÁLOGO"/>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2000000}" name="Table3133" displayName="Table3133" ref="A2080:F2082" totalsRowShown="0">
  <autoFilter ref="A2080:F2082" xr:uid="{00000000-0009-0000-0100-000084000000}"/>
  <tableColumns count="6">
    <tableColumn id="1" xr3:uid="{00000000-0010-0000-8200-000001000000}" name="CÓDIGO CATÁLOGO"/>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3000000}" name="Table3" displayName="Table3" ref="A8:F9" totalsRowShown="0">
  <autoFilter ref="A8:F9" xr:uid="{00000000-0009-0000-0100-00000300000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D000000}" name="Table320" displayName="Table320" ref="A171:F178" totalsRowShown="0">
  <autoFilter ref="A171:F178" xr:uid="{00000000-0009-0000-0100-000013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able321" displayName="Table321" ref="A188:F195" totalsRowShown="0">
  <autoFilter ref="A188:F195" xr:uid="{00000000-0009-0000-0100-000014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le322" displayName="Table322" ref="A205:F212" totalsRowShown="0">
  <autoFilter ref="A205:F212" xr:uid="{00000000-0009-0000-0100-000015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Table324" displayName="Table324" ref="A222:F227" totalsRowShown="0">
  <autoFilter ref="A222:F227" xr:uid="{00000000-0009-0000-0100-000017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Table325" displayName="Table325" ref="A237:F242" totalsRowShown="0">
  <autoFilter ref="A237:F242" xr:uid="{00000000-0009-0000-0100-000018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2000000}" name="Table326" displayName="Table326" ref="A252:F257" totalsRowShown="0">
  <autoFilter ref="A252:F257" xr:uid="{00000000-0009-0000-0100-000019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3:F34" totalsRowShown="0">
  <autoFilter ref="A33:F34" xr:uid="{00000000-0009-0000-0100-000001000000}"/>
  <tableColumns count="6">
    <tableColumn id="1" xr3:uid="{00000000-0010-0000-0100-000001000000}" name="CÓDIGO CATÁLOGO" dataDxfId="13"/>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Table327" displayName="Table327" ref="A267:F272" totalsRowShown="0">
  <autoFilter ref="A267:F272" xr:uid="{00000000-0009-0000-0100-00001A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4000000}" name="Table328" displayName="Table328" ref="A282:F302" totalsRowShown="0">
  <autoFilter ref="A282:F302" xr:uid="{00000000-0009-0000-0100-00001B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Table329" displayName="Table329" ref="A312:F331" totalsRowShown="0">
  <autoFilter ref="A312:F331" xr:uid="{00000000-0009-0000-0100-00001C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Table330" displayName="Table330" ref="A341:F360" totalsRowShown="0">
  <autoFilter ref="A341:F360" xr:uid="{00000000-0009-0000-0100-00001D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able331" displayName="Table331" ref="A370:F384" totalsRowShown="0">
  <autoFilter ref="A370:F384" xr:uid="{00000000-0009-0000-0100-00001E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8000000}" name="Table332" displayName="Table332" ref="A394:F405" totalsRowShown="0">
  <autoFilter ref="A394:F405" xr:uid="{00000000-0009-0000-0100-00001F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Table333" displayName="Table333" ref="A415:F422" totalsRowShown="0">
  <autoFilter ref="A415:F422" xr:uid="{00000000-0009-0000-0100-000020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Table334" displayName="Table334" ref="A432:F439" totalsRowShown="0">
  <autoFilter ref="A432:F439" xr:uid="{00000000-0009-0000-0100-000021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Table335" displayName="Table335" ref="A449:F454" totalsRowShown="0">
  <autoFilter ref="A449:F454" xr:uid="{00000000-0009-0000-0100-000022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Table336" displayName="Table336" ref="A464:F469" totalsRowShown="0">
  <autoFilter ref="A464:F469" xr:uid="{00000000-0009-0000-0100-000023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4:F45" totalsRowShown="0">
  <autoFilter ref="A44:F45" xr:uid="{00000000-0009-0000-0100-000002000000}"/>
  <tableColumns count="6">
    <tableColumn id="1" xr3:uid="{00000000-0010-0000-0200-000001000000}" name="CÓDIGO CATÁLOGO" dataDxfId="12"/>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Table337" displayName="Table337" ref="A479:F481" totalsRowShown="0">
  <autoFilter ref="A479:F481" xr:uid="{00000000-0009-0000-0100-000024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Table338" displayName="Table338" ref="A491:F493" totalsRowShown="0">
  <autoFilter ref="A491:F493" xr:uid="{00000000-0009-0000-0100-000025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Table339" displayName="Table339" ref="A503:F504" totalsRowShown="0">
  <autoFilter ref="A503:F504" xr:uid="{00000000-0009-0000-0100-000026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0000000}" name="Table37" displayName="Table37" ref="A514:F554" totalsRowShown="0">
  <autoFilter ref="A514:F554" xr:uid="{00000000-0009-0000-0100-000006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1000000}" name="Table38" displayName="Table38" ref="A564:F603" totalsRowShown="0">
  <autoFilter ref="A564:F603" xr:uid="{00000000-0009-0000-0100-000007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2000000}" name="Table39" displayName="Table39" ref="A613:F652" totalsRowShown="0">
  <autoFilter ref="A613:F652" xr:uid="{00000000-0009-0000-0100-000008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3000000}" name="Table310" displayName="Table310" ref="A662:F700" totalsRowShown="0">
  <autoFilter ref="A662:F700" xr:uid="{00000000-0009-0000-0100-000009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Table323" displayName="Table323" ref="A710:F717" totalsRowShown="0">
  <autoFilter ref="A710:F717" xr:uid="{00000000-0009-0000-0100-00001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727:F733" totalsRowShown="0">
  <autoFilter ref="A727:F733"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743:F749" totalsRowShown="0">
  <autoFilter ref="A743:F749"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5:F56" totalsRowShown="0">
  <autoFilter ref="A55:F56" xr:uid="{00000000-0009-0000-0100-000005000000}"/>
  <tableColumns count="6">
    <tableColumn id="1" xr3:uid="{00000000-0010-0000-0300-000001000000}" name="CÓDIGO CATÁLOGO" dataDxfId="11"/>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759:F765" totalsRowShown="0">
  <autoFilter ref="A759:F765"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775:F787" totalsRowShown="0">
  <autoFilter ref="A775:F787"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797:F807" totalsRowShown="0">
  <autoFilter ref="A797:F807"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817:F827" totalsRowShown="0">
  <autoFilter ref="A817:F827"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837:F845" totalsRowShown="0">
  <autoFilter ref="A837:F845"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855:F868" totalsRowShown="0">
  <autoFilter ref="A855:F868"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878:F890" totalsRowShown="0">
  <autoFilter ref="A878:F890"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900:F913" totalsRowShown="0">
  <autoFilter ref="A900:F913"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923:F936" totalsRowShown="0">
  <autoFilter ref="A923:F936"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946:F952" totalsRowShown="0">
  <autoFilter ref="A946:F952"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e311" displayName="Table311" ref="A66:F67" totalsRowShown="0">
  <autoFilter ref="A66:F67" xr:uid="{00000000-0009-0000-0100-00000A000000}"/>
  <tableColumns count="6">
    <tableColumn id="1" xr3:uid="{00000000-0010-0000-0400-000001000000}" name="CÓDIGO CATÁLOGO" dataDxfId="10"/>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962:F967" totalsRowShown="0">
  <autoFilter ref="A962:F967"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977:F982" totalsRowShown="0">
  <autoFilter ref="A977:F982"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992:F999" totalsRowShown="0">
  <autoFilter ref="A992:F999"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1009:F1024" totalsRowShown="0">
  <autoFilter ref="A1009:F1024"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1034:F1044" totalsRowShown="0">
  <autoFilter ref="A1034:F1044"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1054:F1069" totalsRowShown="0">
  <autoFilter ref="A1054:F1069"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079:F1089" totalsRowShown="0">
  <autoFilter ref="A1079:F1089"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099:F1101" totalsRowShown="0">
  <autoFilter ref="A1099:F1101"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111:F1113" totalsRowShown="0">
  <autoFilter ref="A1111:F1113"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1123:F1125" totalsRowShown="0">
  <autoFilter ref="A1123:F1125"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le312" displayName="Table312" ref="A77:F78" totalsRowShown="0">
  <autoFilter ref="A77:F78" xr:uid="{00000000-0009-0000-0100-00000B000000}"/>
  <tableColumns count="6">
    <tableColumn id="1" xr3:uid="{00000000-0010-0000-0500-000001000000}" name="CÓDIGO CATÁLOGO" dataDxfId="9"/>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1135:F1138" totalsRowShown="0">
  <autoFilter ref="A1135:F1138"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1148:F1150" totalsRowShown="0">
  <autoFilter ref="A1148:F1150" xr:uid="{00000000-0009-0000-0100-00003E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1160:F1162" totalsRowShown="0">
  <autoFilter ref="A1160:F1162"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172:F1174" totalsRowShown="0">
  <autoFilter ref="A1172:F1174" xr:uid="{00000000-0009-0000-0100-000040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184:F1187" totalsRowShown="0">
  <autoFilter ref="A1184:F1187"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197:F1199" totalsRowShown="0">
  <autoFilter ref="A1197:F1199"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209:F1212" totalsRowShown="0">
  <autoFilter ref="A1209:F1212"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222:F1223" totalsRowShown="0">
  <autoFilter ref="A1222:F1223" xr:uid="{00000000-0009-0000-0100-000044000000}"/>
  <tableColumns count="6">
    <tableColumn id="1" xr3:uid="{00000000-0010-0000-4200-000001000000}" name="CÓDIGO CATÁLOGO" dataDxfId="2"/>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233:F1234" totalsRowShown="0">
  <autoFilter ref="A1233:F1234" xr:uid="{00000000-0009-0000-0100-000045000000}"/>
  <tableColumns count="6">
    <tableColumn id="1" xr3:uid="{00000000-0010-0000-4300-000001000000}" name="CÓDIGO CATÁLOGO" dataDxfId="1"/>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1244:F1245" totalsRowShown="0">
  <autoFilter ref="A1244:F1245" xr:uid="{00000000-0009-0000-0100-000046000000}"/>
  <tableColumns count="6">
    <tableColumn id="1" xr3:uid="{00000000-0010-0000-4400-000001000000}" name="CÓDIGO CATÁLOGO" dataDxfId="0"/>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313" displayName="Table313" ref="A88:F89" totalsRowShown="0">
  <autoFilter ref="A88:F89" xr:uid="{00000000-0009-0000-0100-00000C000000}"/>
  <tableColumns count="6">
    <tableColumn id="1" xr3:uid="{00000000-0010-0000-0600-000001000000}" name="CÓDIGO CATÁLOGO" dataDxfId="8"/>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1255:F1259" totalsRowShown="0">
  <autoFilter ref="A1255:F1259"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1269:F1272" totalsRowShown="0">
  <autoFilter ref="A1269:F1272"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1282:F1286" totalsRowShown="0">
  <autoFilter ref="A1282:F1286" xr:uid="{00000000-0009-0000-0100-00004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1296:F1298" totalsRowShown="0">
  <autoFilter ref="A1296:F1298" xr:uid="{00000000-0009-0000-0100-00004A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1308:F1310" totalsRowShown="0">
  <autoFilter ref="A1308:F1310" xr:uid="{00000000-0009-0000-0100-00004B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1320:F1322" totalsRowShown="0">
  <autoFilter ref="A1320:F1322"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1332:F1334" totalsRowShown="0">
  <autoFilter ref="A1332:F1334" xr:uid="{00000000-0009-0000-0100-00004D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1344:F1346" totalsRowShown="0">
  <autoFilter ref="A1344:F1346" xr:uid="{00000000-0009-0000-0100-00004E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356:F1358" totalsRowShown="0">
  <autoFilter ref="A1356:F1358" xr:uid="{00000000-0009-0000-0100-00004F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368:F1370" totalsRowShown="0">
  <autoFilter ref="A1368:F1370" xr:uid="{00000000-0009-0000-0100-000050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314" displayName="Table314" ref="A99:F100" totalsRowShown="0">
  <autoFilter ref="A99:F100" xr:uid="{00000000-0009-0000-0100-00000D000000}"/>
  <tableColumns count="6">
    <tableColumn id="1" xr3:uid="{00000000-0010-0000-0700-000001000000}" name="CÓDIGO CATÁLOGO" dataDxfId="7"/>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380:F1382" totalsRowShown="0">
  <autoFilter ref="A1380:F1382"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392:F1394" totalsRowShown="0">
  <autoFilter ref="A1392:F1394" xr:uid="{00000000-0009-0000-0100-000052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404:F1406" totalsRowShown="0">
  <autoFilter ref="A1404:F1406" xr:uid="{00000000-0009-0000-0100-00005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416:F1418" totalsRowShown="0">
  <autoFilter ref="A1416:F1418"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428:F1430" totalsRowShown="0">
  <autoFilter ref="A1428:F1430" xr:uid="{00000000-0009-0000-0100-000055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440:F1442" totalsRowShown="0">
  <autoFilter ref="A1440:F1442" xr:uid="{00000000-0009-0000-0100-00005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452:F1454" totalsRowShown="0">
  <autoFilter ref="A1452:F1454"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464:F1466" totalsRowShown="0">
  <autoFilter ref="A1464:F1466"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476:F1479" totalsRowShown="0">
  <autoFilter ref="A1476:F1479"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489:F1492" totalsRowShown="0">
  <autoFilter ref="A1489:F1492" xr:uid="{00000000-0009-0000-0100-00005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315" displayName="Table315" ref="A110:F111" totalsRowShown="0">
  <autoFilter ref="A110:F111" xr:uid="{00000000-0009-0000-0100-00000E000000}"/>
  <tableColumns count="6">
    <tableColumn id="1" xr3:uid="{00000000-0010-0000-0800-000001000000}" name="CÓDIGO CATÁLOGO" dataDxfId="6"/>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502:F1505" totalsRowShown="0">
  <autoFilter ref="A1502:F1505"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515:F1518" totalsRowShown="0">
  <autoFilter ref="A1515:F1518"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528:F1532" totalsRowShown="0">
  <autoFilter ref="A1528:F1532"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542:F1546" totalsRowShown="0">
  <autoFilter ref="A1542:F1546"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556:F1560" totalsRowShown="0">
  <autoFilter ref="A1556:F1560" xr:uid="{00000000-0009-0000-0100-00005F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1570:F1574" totalsRowShown="0">
  <autoFilter ref="A1570:F1574" xr:uid="{00000000-0009-0000-0100-000060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1584:F1586" totalsRowShown="0">
  <autoFilter ref="A1584:F1586" xr:uid="{00000000-0009-0000-0100-000061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1596:F1598" totalsRowShown="0">
  <autoFilter ref="A1596:F1598" xr:uid="{00000000-0009-0000-0100-000062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1000000}" name="Table3100" displayName="Table3100" ref="A1608:F1610" totalsRowShown="0">
  <autoFilter ref="A1608:F1610" xr:uid="{00000000-0009-0000-0100-000063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2000000}" name="Table3101" displayName="Table3101" ref="A1620:F1622" totalsRowShown="0">
  <autoFilter ref="A1620:F1622" xr:uid="{00000000-0009-0000-0100-000064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6.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28.xml"/><Relationship Id="rId936" Type="http://schemas.openxmlformats.org/officeDocument/2006/relationships/ctrlProp" Target="../ctrlProps/ctrlProp933.xml"/><Relationship Id="rId1121" Type="http://schemas.openxmlformats.org/officeDocument/2006/relationships/table" Target="../tables/table95.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5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117.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7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2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8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1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3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omments" Target="../comments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45.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5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67.xml"/><Relationship Id="rId1107" Type="http://schemas.openxmlformats.org/officeDocument/2006/relationships/table" Target="../tables/table8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9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xml"/><Relationship Id="rId1129" Type="http://schemas.openxmlformats.org/officeDocument/2006/relationships/table" Target="../tables/table10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16.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2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94.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38.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105.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116.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27.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71.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76.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2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87.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3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4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1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5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120.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31.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44.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55.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1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66.xml"/><Relationship Id="rId1106" Type="http://schemas.openxmlformats.org/officeDocument/2006/relationships/table" Target="../tables/table8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9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4.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1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15.xml"/><Relationship Id="rId1139" Type="http://schemas.openxmlformats.org/officeDocument/2006/relationships/table" Target="../tables/table11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26.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3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10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4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11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26.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7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8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3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4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3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5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1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65.xml"/><Relationship Id="rId1105" Type="http://schemas.openxmlformats.org/officeDocument/2006/relationships/table" Target="../tables/table7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23.xml"/><Relationship Id="rId833" Type="http://schemas.openxmlformats.org/officeDocument/2006/relationships/ctrlProp" Target="../ctrlProps/ctrlProp830.xml"/><Relationship Id="rId1116" Type="http://schemas.openxmlformats.org/officeDocument/2006/relationships/table" Target="../tables/table9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1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1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25.xml"/><Relationship Id="rId1149" Type="http://schemas.openxmlformats.org/officeDocument/2006/relationships/table" Target="../tables/table12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36.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4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114.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5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25.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8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7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85.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2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96.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4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107.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5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1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6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73.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1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64.xml"/><Relationship Id="rId1104" Type="http://schemas.openxmlformats.org/officeDocument/2006/relationships/table" Target="../tables/table7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2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8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33.xml"/><Relationship Id="rId843" Type="http://schemas.openxmlformats.org/officeDocument/2006/relationships/ctrlProp" Target="../ctrlProps/ctrlProp840.xml"/><Relationship Id="rId1126" Type="http://schemas.openxmlformats.org/officeDocument/2006/relationships/table" Target="../tables/table10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11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2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2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3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46.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5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24.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68.xml"/><Relationship Id="rId1108" Type="http://schemas.openxmlformats.org/officeDocument/2006/relationships/table" Target="../tables/table8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93.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17.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8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3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106.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6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28.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1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77.xml"/><Relationship Id="rId47" Type="http://schemas.openxmlformats.org/officeDocument/2006/relationships/ctrlProp" Target="../ctrlProps/ctrlProp4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24.xml"/><Relationship Id="rId7" Type="http://schemas.openxmlformats.org/officeDocument/2006/relationships/table" Target="../tables/table1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27.xml"/><Relationship Id="rId5" Type="http://schemas.openxmlformats.org/officeDocument/2006/relationships/ctrlProp" Target="../ctrlProps/ctrlProp1026.xml"/><Relationship Id="rId4" Type="http://schemas.openxmlformats.org/officeDocument/2006/relationships/ctrlProp" Target="../ctrlProps/ctrlProp10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 workbookViewId="0">
      <selection activeCell="C26" sqref="C26:C28"/>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0" t="s">
        <v>15167</v>
      </c>
      <c r="C6" s="80"/>
    </row>
    <row r="7" spans="2:7" ht="18" x14ac:dyDescent="0.25">
      <c r="B7" s="47" t="s">
        <v>5214</v>
      </c>
      <c r="C7" s="48">
        <f ca="1">PACC!B10</f>
        <v>23076476</v>
      </c>
      <c r="G7" s="25"/>
    </row>
    <row r="8" spans="2:7" ht="18" x14ac:dyDescent="0.25">
      <c r="B8" s="49" t="s">
        <v>3640</v>
      </c>
      <c r="C8" s="50">
        <f ca="1">PACC!B9</f>
        <v>131</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0012</v>
      </c>
      <c r="G11" s="25"/>
    </row>
    <row r="12" spans="2:7" ht="16.5" customHeight="1" x14ac:dyDescent="0.25">
      <c r="B12" s="49" t="s">
        <v>17723</v>
      </c>
      <c r="C12" s="51" t="str">
        <f>IF(PACC!E9="","",PACC!E9)</f>
        <v>Consejo Nacional de Drogas</v>
      </c>
      <c r="G12" s="25"/>
    </row>
    <row r="13" spans="2:7" ht="16.5" customHeight="1" x14ac:dyDescent="0.25">
      <c r="B13" s="49" t="s">
        <v>18227</v>
      </c>
      <c r="C13" s="52" t="str">
        <f>IF(PACC!E11="","",PACC!E11)</f>
        <v>2020</v>
      </c>
      <c r="G13" s="26"/>
    </row>
    <row r="14" spans="2:7" ht="16.5" customHeight="1" x14ac:dyDescent="0.25">
      <c r="B14" s="49" t="s">
        <v>4035</v>
      </c>
      <c r="C14" s="70" t="str">
        <f>IF(PACC!E12="","",PACC!E12)</f>
        <v/>
      </c>
      <c r="G14" s="26"/>
    </row>
    <row r="15" spans="2:7" x14ac:dyDescent="0.25">
      <c r="B15" s="81" t="s">
        <v>3405</v>
      </c>
      <c r="C15" s="81"/>
    </row>
    <row r="16" spans="2:7" x14ac:dyDescent="0.25">
      <c r="B16" s="53" t="s">
        <v>10692</v>
      </c>
      <c r="C16" s="48">
        <f ca="1">SUMIF(ObjetoContratacionOculto,"="&amp;Bienes,TotalEstColumnValue)</f>
        <v>21275220</v>
      </c>
    </row>
    <row r="17" spans="2:3" x14ac:dyDescent="0.25">
      <c r="B17" s="53" t="s">
        <v>528</v>
      </c>
      <c r="C17" s="48">
        <f>SUMIF(ObjetoContratacionOculto,"="&amp;Obras,TotalEstColumnValue)</f>
        <v>0</v>
      </c>
    </row>
    <row r="18" spans="2:3" x14ac:dyDescent="0.25">
      <c r="B18" s="53" t="s">
        <v>91</v>
      </c>
      <c r="C18" s="48">
        <f ca="1">SUMIF(ObjetoContratacionOculto,"="&amp;Servicios,TotalEstColumnValue)</f>
        <v>1801256</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81" t="s">
        <v>16802</v>
      </c>
      <c r="C21" s="81"/>
    </row>
    <row r="22" spans="2:3" x14ac:dyDescent="0.25">
      <c r="B22" s="53" t="s">
        <v>11796</v>
      </c>
      <c r="C22" s="48">
        <f ca="1">SUMIF(MIPYMEOculto,"="&amp;MIPYMESí,TotalEstColumnValue)</f>
        <v>12399207</v>
      </c>
    </row>
    <row r="23" spans="2:3" x14ac:dyDescent="0.25">
      <c r="B23" s="53" t="s">
        <v>17856</v>
      </c>
      <c r="C23" s="48">
        <f>SUMIF(MIPYMEOculto,"="&amp;MIPYMEMujer,TotalEstColumnValue)</f>
        <v>0</v>
      </c>
    </row>
    <row r="24" spans="2:3" x14ac:dyDescent="0.25">
      <c r="B24" s="53" t="s">
        <v>3561</v>
      </c>
      <c r="C24" s="48">
        <f ca="1">SUMIF(MIPYMEOculto,"="&amp;MIPYMENo,TotalEstColumnValue)</f>
        <v>10677269</v>
      </c>
    </row>
    <row r="25" spans="2:3" x14ac:dyDescent="0.25">
      <c r="B25" s="80" t="s">
        <v>14392</v>
      </c>
      <c r="C25" s="80"/>
    </row>
    <row r="26" spans="2:3" x14ac:dyDescent="0.25">
      <c r="B26" s="53" t="s">
        <v>10103</v>
      </c>
      <c r="C26" s="48">
        <f ca="1">SUMIF(ProcedimientoOculto,"="&amp;ModCU,TotalEstColumnValue)</f>
        <v>4567980</v>
      </c>
    </row>
    <row r="27" spans="2:3" x14ac:dyDescent="0.25">
      <c r="B27" s="53" t="s">
        <v>9173</v>
      </c>
      <c r="C27" s="48">
        <f ca="1">SUMIF(ProcedimientoOculto,"="&amp;ModCM,TotalEstColumnValue)</f>
        <v>12427836</v>
      </c>
    </row>
    <row r="28" spans="2:3" x14ac:dyDescent="0.25">
      <c r="B28" s="53" t="s">
        <v>11064</v>
      </c>
      <c r="C28" s="48">
        <f ca="1">SUMIF(ProcedimientoOculto,"="&amp;ModCP,TotalEstColumnValue)</f>
        <v>6080660</v>
      </c>
    </row>
    <row r="29" spans="2:3" x14ac:dyDescent="0.25">
      <c r="B29" s="53" t="s">
        <v>7889</v>
      </c>
      <c r="C29" s="48">
        <f>SUMIF(ProcedimientoOculto,"="&amp;ModLP,TotalEstColumnValue)</f>
        <v>0</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17670</v>
      </c>
      <c r="C36" s="48">
        <f>SUMIF(ProcedimientoOculto,"="&amp;ModEObras,TotalEstColumnValue)</f>
        <v>0</v>
      </c>
    </row>
    <row r="37" spans="2:3" x14ac:dyDescent="0.25">
      <c r="B37" s="49" t="s">
        <v>12187</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083"/>
  <sheetViews>
    <sheetView tabSelected="1" topLeftCell="B1" zoomScale="91" zoomScaleNormal="91" zoomScaleSheetLayoutView="100" workbookViewId="0">
      <selection activeCell="D642" sqref="D642"/>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4"/>
      <c r="B1" s="39"/>
      <c r="C1" s="27"/>
      <c r="D1" s="27"/>
      <c r="E1" s="1"/>
      <c r="F1" s="39"/>
      <c r="G1" s="39"/>
      <c r="H1" s="2"/>
      <c r="I1" s="28"/>
      <c r="J1" s="28"/>
      <c r="K1" s="9"/>
      <c r="L1" s="9"/>
      <c r="M1" s="9"/>
    </row>
    <row r="2" spans="1:13" s="3" customFormat="1" ht="18" x14ac:dyDescent="0.25">
      <c r="A2" s="84"/>
      <c r="B2" s="87" t="s">
        <v>1389</v>
      </c>
      <c r="C2" s="87"/>
      <c r="D2" s="87"/>
      <c r="E2" s="87"/>
      <c r="F2" s="55"/>
      <c r="G2" s="39"/>
      <c r="H2" s="9"/>
    </row>
    <row r="3" spans="1:13" s="3" customFormat="1" ht="18" x14ac:dyDescent="0.25">
      <c r="A3" s="84"/>
      <c r="B3" s="88" t="str">
        <f>"AÑO "&amp;E11</f>
        <v>AÑO 2020</v>
      </c>
      <c r="C3" s="88"/>
      <c r="D3" s="88"/>
      <c r="E3" s="88"/>
      <c r="F3" s="56"/>
      <c r="G3" s="39"/>
      <c r="H3" s="9"/>
    </row>
    <row r="4" spans="1:13" s="3" customFormat="1" ht="18" x14ac:dyDescent="0.25">
      <c r="A4" s="8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5260</v>
      </c>
      <c r="E6" s="85" t="s">
        <v>13268</v>
      </c>
      <c r="F6" s="86"/>
    </row>
    <row r="7" spans="1:13" s="40" customFormat="1" ht="13.5" x14ac:dyDescent="0.25">
      <c r="A7" s="33" t="s">
        <v>16009</v>
      </c>
      <c r="B7" s="36"/>
      <c r="C7" s="36"/>
      <c r="D7" s="41" t="s">
        <v>10081</v>
      </c>
      <c r="E7" s="85" t="s">
        <v>15153</v>
      </c>
      <c r="F7" s="86"/>
    </row>
    <row r="8" spans="1:13" s="40" customFormat="1" ht="13.5" x14ac:dyDescent="0.25">
      <c r="A8" s="36"/>
      <c r="B8" s="36"/>
      <c r="C8" s="36"/>
      <c r="D8" s="41" t="s">
        <v>11674</v>
      </c>
      <c r="E8" s="85" t="s">
        <v>6312</v>
      </c>
      <c r="F8" s="86"/>
    </row>
    <row r="9" spans="1:13" s="40" customFormat="1" ht="13.5" x14ac:dyDescent="0.25">
      <c r="A9" s="35" t="s">
        <v>3826</v>
      </c>
      <c r="B9" s="43">
        <f ca="1">COUNTIFS(TotalEstColumnName,"="&amp;TotalEstLabel,TotalEstColumnValue,"&gt;0")</f>
        <v>131</v>
      </c>
      <c r="C9" s="36"/>
      <c r="D9" s="41" t="s">
        <v>6838</v>
      </c>
      <c r="E9" s="85" t="s">
        <v>9621</v>
      </c>
      <c r="F9" s="86"/>
    </row>
    <row r="10" spans="1:13" s="40" customFormat="1" ht="13.5" x14ac:dyDescent="0.25">
      <c r="A10" s="37" t="s">
        <v>17060</v>
      </c>
      <c r="B10" s="42">
        <f ca="1">SUMIF(TotalEstColumnName,"="&amp;TotalEstLabel,TotalEstColumnValue)</f>
        <v>23076476</v>
      </c>
      <c r="C10" s="36"/>
      <c r="D10" s="41" t="s">
        <v>14706</v>
      </c>
      <c r="E10" s="85" t="s">
        <v>18629</v>
      </c>
      <c r="F10" s="86"/>
    </row>
    <row r="11" spans="1:13" s="40" customFormat="1" ht="13.5" x14ac:dyDescent="0.25">
      <c r="A11" s="36"/>
      <c r="B11" s="36"/>
      <c r="C11" s="36"/>
      <c r="D11" s="41" t="s">
        <v>3422</v>
      </c>
      <c r="E11" s="89" t="s">
        <v>17861</v>
      </c>
      <c r="F11" s="90"/>
    </row>
    <row r="12" spans="1:13" s="40" customFormat="1" ht="13.5" x14ac:dyDescent="0.25">
      <c r="A12" s="34"/>
      <c r="B12" s="34"/>
      <c r="C12" s="34"/>
      <c r="D12" s="41" t="s">
        <v>3493</v>
      </c>
      <c r="E12" s="91" t="s">
        <v>6780</v>
      </c>
      <c r="F12" s="92"/>
    </row>
    <row r="15" spans="1:13" ht="33.950000000000003" customHeight="1" x14ac:dyDescent="0.25">
      <c r="A15" s="59" t="s">
        <v>16382</v>
      </c>
      <c r="B15" s="59" t="s">
        <v>161</v>
      </c>
      <c r="C15" s="59" t="s">
        <v>11724</v>
      </c>
      <c r="D15" s="59" t="s">
        <v>14378</v>
      </c>
      <c r="E15" s="59" t="s">
        <v>10962</v>
      </c>
      <c r="F15" s="59" t="s">
        <v>11095</v>
      </c>
    </row>
    <row r="16" spans="1:13" ht="13.5" customHeight="1" x14ac:dyDescent="0.25">
      <c r="A16" s="77" t="s">
        <v>18833</v>
      </c>
      <c r="B16" s="77" t="s">
        <v>18834</v>
      </c>
      <c r="C16" s="61" t="s">
        <v>6798</v>
      </c>
      <c r="D16" s="61" t="s">
        <v>17482</v>
      </c>
      <c r="E16" s="61" t="s">
        <v>17853</v>
      </c>
      <c r="F16" s="61" t="s">
        <v>6780</v>
      </c>
    </row>
    <row r="17" spans="1:10" ht="14.1" customHeight="1" x14ac:dyDescent="0.25">
      <c r="A17" s="82" t="s">
        <v>14828</v>
      </c>
      <c r="B17" s="62" t="s">
        <v>8528</v>
      </c>
      <c r="C17" s="72">
        <v>43831</v>
      </c>
      <c r="D17" s="82" t="s">
        <v>9385</v>
      </c>
      <c r="E17" s="74" t="s">
        <v>13093</v>
      </c>
      <c r="F17" s="75" t="s">
        <v>3080</v>
      </c>
    </row>
    <row r="18" spans="1:10" ht="14.1" customHeight="1" x14ac:dyDescent="0.25">
      <c r="A18" s="83"/>
      <c r="B18" s="62" t="s">
        <v>1786</v>
      </c>
      <c r="C18" s="73">
        <f>IF(C17="","",IF(AND(MONTH(C17)&gt;=1,MONTH(C17)&lt;=3),1,IF(AND(MONTH(C17)&gt;=4,MONTH(C17)&lt;=6),2,IF(AND(MONTH(C17)&gt;=7,MONTH(C17)&lt;=9),3,4))))</f>
        <v>1</v>
      </c>
      <c r="D18" s="83"/>
      <c r="E18" s="74" t="s">
        <v>2417</v>
      </c>
      <c r="F18" s="75" t="s">
        <v>11112</v>
      </c>
    </row>
    <row r="19" spans="1:10" ht="14.1" customHeight="1" x14ac:dyDescent="0.25">
      <c r="A19" s="83"/>
      <c r="B19" s="62" t="s">
        <v>12942</v>
      </c>
      <c r="C19" s="72">
        <v>43921</v>
      </c>
      <c r="D19" s="83"/>
      <c r="E19" s="74" t="s">
        <v>3073</v>
      </c>
      <c r="F19" s="75" t="s">
        <v>11112</v>
      </c>
    </row>
    <row r="20" spans="1:10" ht="14.1" customHeight="1" x14ac:dyDescent="0.25">
      <c r="A20" s="83"/>
      <c r="B20" s="62" t="s">
        <v>1786</v>
      </c>
      <c r="C20" s="73">
        <f>IF(C19="","",IF(AND(MONTH(C19)&gt;=1,MONTH(C19)&lt;=3),1,IF(AND(MONTH(C19)&gt;=4,MONTH(C19)&lt;=6),2,IF(AND(MONTH(C19)&gt;=7,MONTH(C19)&lt;=9),3,4))))</f>
        <v>1</v>
      </c>
      <c r="D20" s="83"/>
      <c r="E20" s="74" t="s">
        <v>13192</v>
      </c>
      <c r="F20" s="75" t="s">
        <v>11112</v>
      </c>
    </row>
    <row r="22" spans="1:10" ht="14.1" customHeight="1" x14ac:dyDescent="0.25">
      <c r="A22" s="67" t="s">
        <v>15735</v>
      </c>
      <c r="B22" s="67" t="s">
        <v>16146</v>
      </c>
      <c r="C22" s="67" t="s">
        <v>15641</v>
      </c>
      <c r="D22" s="67" t="s">
        <v>15251</v>
      </c>
      <c r="E22" s="67" t="s">
        <v>6932</v>
      </c>
      <c r="F22" s="67" t="s">
        <v>15280</v>
      </c>
    </row>
    <row r="23" spans="1:10" ht="13.5" customHeight="1" x14ac:dyDescent="0.25">
      <c r="A23" s="78">
        <v>15101505</v>
      </c>
      <c r="B23" s="64" t="str">
        <f ca="1">IFERROR(INDEX(UNSPSCDes,MATCH(INDIRECT(ADDRESS(ROW(),COLUMN()-1,4)),UNSPSCCode,0)),"")</f>
        <v>Combustible diesel</v>
      </c>
      <c r="C23" s="76" t="s">
        <v>9559</v>
      </c>
      <c r="D23" s="63">
        <v>1164</v>
      </c>
      <c r="E23" s="66">
        <v>181</v>
      </c>
      <c r="F23" s="65">
        <f ca="1">INDIRECT(ADDRESS(ROW(),COLUMN()-2,4))*INDIRECT(ADDRESS(ROW(),COLUMN()-1,4))</f>
        <v>210684</v>
      </c>
    </row>
    <row r="24" spans="1:10" ht="14.1" customHeight="1" x14ac:dyDescent="0.25">
      <c r="E24" s="68" t="s">
        <v>12550</v>
      </c>
      <c r="F24" s="69">
        <f ca="1">SUM(Table4[MONTO TOTAL ESTIMADO])</f>
        <v>210684</v>
      </c>
      <c r="H24" s="24" t="str">
        <f>C16</f>
        <v>Servicios</v>
      </c>
      <c r="I24" s="24" t="str">
        <f>E16</f>
        <v>No</v>
      </c>
      <c r="J24" s="24" t="str">
        <f>D16</f>
        <v>Compras Menores</v>
      </c>
    </row>
    <row r="25" spans="1:10" ht="14.1" customHeight="1" thickBot="1" x14ac:dyDescent="0.3"/>
    <row r="26" spans="1:10" ht="33.75" customHeight="1" thickBot="1" x14ac:dyDescent="0.25">
      <c r="A26" s="59" t="s">
        <v>16382</v>
      </c>
      <c r="B26" s="59" t="s">
        <v>161</v>
      </c>
      <c r="C26" s="59" t="s">
        <v>11724</v>
      </c>
      <c r="D26" s="59" t="s">
        <v>14378</v>
      </c>
      <c r="E26" s="59" t="s">
        <v>10962</v>
      </c>
      <c r="F26" s="59" t="s">
        <v>11095</v>
      </c>
      <c r="G26" s="5"/>
      <c r="H26" s="5"/>
      <c r="I26" s="5"/>
      <c r="J26" s="5"/>
    </row>
    <row r="27" spans="1:10" ht="13.5" customHeight="1" thickBot="1" x14ac:dyDescent="0.25">
      <c r="A27" s="77" t="s">
        <v>18833</v>
      </c>
      <c r="B27" s="77" t="s">
        <v>18834</v>
      </c>
      <c r="C27" s="61" t="s">
        <v>6798</v>
      </c>
      <c r="D27" s="61" t="s">
        <v>17482</v>
      </c>
      <c r="E27" s="61" t="s">
        <v>17853</v>
      </c>
      <c r="F27" s="61"/>
      <c r="G27" s="5"/>
      <c r="H27" s="5"/>
      <c r="I27" s="5"/>
      <c r="J27" s="5"/>
    </row>
    <row r="28" spans="1:10" ht="14.1" customHeight="1" thickBot="1" x14ac:dyDescent="0.25">
      <c r="A28" s="82" t="s">
        <v>14828</v>
      </c>
      <c r="B28" s="62" t="s">
        <v>8528</v>
      </c>
      <c r="C28" s="71">
        <v>43922</v>
      </c>
      <c r="D28" s="82" t="s">
        <v>9385</v>
      </c>
      <c r="E28" s="62" t="s">
        <v>13093</v>
      </c>
      <c r="F28" s="61" t="s">
        <v>3080</v>
      </c>
      <c r="G28" s="5"/>
      <c r="H28" s="5"/>
      <c r="I28" s="5"/>
      <c r="J28" s="5"/>
    </row>
    <row r="29" spans="1:10" ht="14.1" customHeight="1" thickBot="1" x14ac:dyDescent="0.25">
      <c r="A29" s="83"/>
      <c r="B29" s="62" t="s">
        <v>1786</v>
      </c>
      <c r="C29" s="60">
        <f>IF(C28="","",IF(AND(MONTH(C28)&gt;=1,MONTH(C28)&lt;=3),1,IF(AND(MONTH(C28)&gt;=4,MONTH(C28)&lt;=6),2,IF(AND(MONTH(C28)&gt;=7,MONTH(C28)&lt;=9),3,4))))</f>
        <v>2</v>
      </c>
      <c r="D29" s="83"/>
      <c r="E29" s="62" t="s">
        <v>2417</v>
      </c>
      <c r="F29" s="61" t="s">
        <v>11112</v>
      </c>
      <c r="G29" s="5"/>
      <c r="H29" s="5"/>
      <c r="I29" s="5"/>
      <c r="J29" s="5"/>
    </row>
    <row r="30" spans="1:10" ht="14.1" customHeight="1" thickBot="1" x14ac:dyDescent="0.25">
      <c r="A30" s="83"/>
      <c r="B30" s="62" t="s">
        <v>12942</v>
      </c>
      <c r="C30" s="71">
        <v>44012</v>
      </c>
      <c r="D30" s="83"/>
      <c r="E30" s="62" t="s">
        <v>3073</v>
      </c>
      <c r="F30" s="61" t="s">
        <v>11112</v>
      </c>
      <c r="G30" s="5"/>
      <c r="H30" s="5"/>
      <c r="I30" s="5"/>
      <c r="J30" s="5"/>
    </row>
    <row r="31" spans="1:10" ht="14.1" customHeight="1" thickBot="1" x14ac:dyDescent="0.25">
      <c r="A31" s="83"/>
      <c r="B31" s="62" t="s">
        <v>1786</v>
      </c>
      <c r="C31" s="60">
        <f>IF(C30="","",IF(AND(MONTH(C30)&gt;=1,MONTH(C30)&lt;=3),1,IF(AND(MONTH(C30)&gt;=4,MONTH(C30)&lt;=6),2,IF(AND(MONTH(C30)&gt;=7,MONTH(C30)&lt;=9),3,4))))</f>
        <v>2</v>
      </c>
      <c r="D31" s="83"/>
      <c r="E31" s="62" t="s">
        <v>13192</v>
      </c>
      <c r="F31" s="61" t="s">
        <v>11112</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78">
        <v>15101505</v>
      </c>
      <c r="B34" s="64" t="str">
        <f ca="1">IFERROR(INDEX(UNSPSCDes,MATCH(INDIRECT(ADDRESS(ROW(),COLUMN()-1,4)),UNSPSCCode,0)),"")</f>
        <v>Combustible diesel</v>
      </c>
      <c r="C34" s="63" t="s">
        <v>9559</v>
      </c>
      <c r="D34" s="63">
        <v>1164</v>
      </c>
      <c r="E34" s="66">
        <v>181</v>
      </c>
      <c r="F34" s="65">
        <f ca="1">INDIRECT(ADDRESS(ROW(),COLUMN()-2,4))*INDIRECT(ADDRESS(ROW(),COLUMN()-1,4))</f>
        <v>210684</v>
      </c>
      <c r="G34" s="5"/>
      <c r="H34" s="5"/>
      <c r="I34" s="5"/>
      <c r="J34" s="5"/>
    </row>
    <row r="35" spans="1:10" ht="14.1" customHeight="1" x14ac:dyDescent="0.2">
      <c r="A35" s="5"/>
      <c r="B35" s="5"/>
      <c r="C35" s="5"/>
      <c r="D35" s="5"/>
      <c r="E35" s="68" t="s">
        <v>12550</v>
      </c>
      <c r="F35" s="69">
        <f ca="1">SUM(Table32[MONTO TOTAL ESTIMADO])</f>
        <v>210684</v>
      </c>
      <c r="G35" s="5"/>
      <c r="H35" s="5" t="str">
        <f>C27</f>
        <v>Servicios</v>
      </c>
      <c r="I35" s="5" t="str">
        <f>E27</f>
        <v>No</v>
      </c>
      <c r="J35" s="5" t="str">
        <f>D27</f>
        <v>Compras Menores</v>
      </c>
    </row>
    <row r="36" spans="1:10" ht="14.1" customHeight="1" thickBot="1" x14ac:dyDescent="0.3"/>
    <row r="37" spans="1:10" ht="33.75" customHeight="1" thickBot="1" x14ac:dyDescent="0.25">
      <c r="A37" s="59" t="s">
        <v>16382</v>
      </c>
      <c r="B37" s="59" t="s">
        <v>161</v>
      </c>
      <c r="C37" s="59" t="s">
        <v>11724</v>
      </c>
      <c r="D37" s="59" t="s">
        <v>14378</v>
      </c>
      <c r="E37" s="59" t="s">
        <v>10962</v>
      </c>
      <c r="F37" s="59" t="s">
        <v>11095</v>
      </c>
      <c r="G37" s="5"/>
      <c r="H37" s="5"/>
      <c r="I37" s="5"/>
      <c r="J37" s="5"/>
    </row>
    <row r="38" spans="1:10" ht="13.5" customHeight="1" thickBot="1" x14ac:dyDescent="0.25">
      <c r="A38" s="77" t="s">
        <v>18833</v>
      </c>
      <c r="B38" s="77" t="s">
        <v>18834</v>
      </c>
      <c r="C38" s="61" t="s">
        <v>6798</v>
      </c>
      <c r="D38" s="61" t="s">
        <v>17482</v>
      </c>
      <c r="E38" s="61" t="s">
        <v>17853</v>
      </c>
      <c r="F38" s="61"/>
      <c r="G38" s="5"/>
      <c r="H38" s="5"/>
      <c r="I38" s="5"/>
      <c r="J38" s="5"/>
    </row>
    <row r="39" spans="1:10" ht="14.1" customHeight="1" thickBot="1" x14ac:dyDescent="0.25">
      <c r="A39" s="82" t="s">
        <v>14828</v>
      </c>
      <c r="B39" s="62" t="s">
        <v>8528</v>
      </c>
      <c r="C39" s="71">
        <v>44013</v>
      </c>
      <c r="D39" s="82" t="s">
        <v>9385</v>
      </c>
      <c r="E39" s="62" t="s">
        <v>13093</v>
      </c>
      <c r="F39" s="61" t="s">
        <v>3080</v>
      </c>
      <c r="G39" s="5"/>
      <c r="H39" s="5"/>
      <c r="I39" s="5"/>
      <c r="J39" s="5"/>
    </row>
    <row r="40" spans="1:10" ht="14.1" customHeight="1" thickBot="1" x14ac:dyDescent="0.25">
      <c r="A40" s="83"/>
      <c r="B40" s="62" t="s">
        <v>1786</v>
      </c>
      <c r="C40" s="60">
        <f>IF(C39="","",IF(AND(MONTH(C39)&gt;=1,MONTH(C39)&lt;=3),1,IF(AND(MONTH(C39)&gt;=4,MONTH(C39)&lt;=6),2,IF(AND(MONTH(C39)&gt;=7,MONTH(C39)&lt;=9),3,4))))</f>
        <v>3</v>
      </c>
      <c r="D40" s="83"/>
      <c r="E40" s="62" t="s">
        <v>2417</v>
      </c>
      <c r="F40" s="61" t="s">
        <v>11112</v>
      </c>
      <c r="G40" s="5"/>
      <c r="H40" s="5"/>
      <c r="I40" s="5"/>
      <c r="J40" s="5"/>
    </row>
    <row r="41" spans="1:10" ht="14.1" customHeight="1" thickBot="1" x14ac:dyDescent="0.25">
      <c r="A41" s="83"/>
      <c r="B41" s="62" t="s">
        <v>12942</v>
      </c>
      <c r="C41" s="71">
        <v>44104</v>
      </c>
      <c r="D41" s="83"/>
      <c r="E41" s="62" t="s">
        <v>3073</v>
      </c>
      <c r="F41" s="61" t="s">
        <v>11112</v>
      </c>
      <c r="G41" s="5"/>
      <c r="H41" s="5"/>
      <c r="I41" s="5"/>
      <c r="J41" s="5"/>
    </row>
    <row r="42" spans="1:10" ht="14.1" customHeight="1" thickBot="1" x14ac:dyDescent="0.25">
      <c r="A42" s="83"/>
      <c r="B42" s="62" t="s">
        <v>1786</v>
      </c>
      <c r="C42" s="60">
        <f>IF(C41="","",IF(AND(MONTH(C41)&gt;=1,MONTH(C41)&lt;=3),1,IF(AND(MONTH(C41)&gt;=4,MONTH(C41)&lt;=6),2,IF(AND(MONTH(C41)&gt;=7,MONTH(C41)&lt;=9),3,4))))</f>
        <v>3</v>
      </c>
      <c r="D42" s="83"/>
      <c r="E42" s="62" t="s">
        <v>13192</v>
      </c>
      <c r="F42" s="61" t="s">
        <v>11112</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78">
        <v>15101505</v>
      </c>
      <c r="B45" s="64" t="str">
        <f ca="1">IFERROR(INDEX(UNSPSCDes,MATCH(INDIRECT(ADDRESS(ROW(),COLUMN()-1,4)),UNSPSCCode,0)),"")</f>
        <v>Combustible diesel</v>
      </c>
      <c r="C45" s="63" t="s">
        <v>9559</v>
      </c>
      <c r="D45" s="63">
        <v>1164</v>
      </c>
      <c r="E45" s="66">
        <v>181</v>
      </c>
      <c r="F45" s="65">
        <f ca="1">INDIRECT(ADDRESS(ROW(),COLUMN()-2,4))*INDIRECT(ADDRESS(ROW(),COLUMN()-1,4))</f>
        <v>210684</v>
      </c>
      <c r="G45" s="5"/>
      <c r="H45" s="5"/>
      <c r="I45" s="5"/>
      <c r="J45" s="5"/>
    </row>
    <row r="46" spans="1:10" ht="14.1" customHeight="1" x14ac:dyDescent="0.2">
      <c r="A46" s="5"/>
      <c r="B46" s="5"/>
      <c r="C46" s="5"/>
      <c r="D46" s="5"/>
      <c r="E46" s="68" t="s">
        <v>12550</v>
      </c>
      <c r="F46" s="69">
        <f ca="1">SUM(Table33[MONTO TOTAL ESTIMADO])</f>
        <v>210684</v>
      </c>
      <c r="G46" s="5"/>
      <c r="H46" s="5" t="str">
        <f>C38</f>
        <v>Servicios</v>
      </c>
      <c r="I46" s="5" t="str">
        <f>E38</f>
        <v>No</v>
      </c>
      <c r="J46" s="5" t="str">
        <f>D38</f>
        <v>Compras Menores</v>
      </c>
    </row>
    <row r="47" spans="1:10" ht="14.1" customHeight="1" thickBot="1" x14ac:dyDescent="0.3"/>
    <row r="48" spans="1:10" ht="33.75" customHeight="1" thickBot="1" x14ac:dyDescent="0.25">
      <c r="A48" s="59" t="s">
        <v>16382</v>
      </c>
      <c r="B48" s="59" t="s">
        <v>161</v>
      </c>
      <c r="C48" s="59" t="s">
        <v>11724</v>
      </c>
      <c r="D48" s="59" t="s">
        <v>14378</v>
      </c>
      <c r="E48" s="59" t="s">
        <v>10962</v>
      </c>
      <c r="F48" s="59" t="s">
        <v>11095</v>
      </c>
      <c r="G48" s="5"/>
      <c r="H48" s="5"/>
      <c r="I48" s="5"/>
      <c r="J48" s="5"/>
    </row>
    <row r="49" spans="1:10" ht="13.5" customHeight="1" thickBot="1" x14ac:dyDescent="0.25">
      <c r="A49" s="77" t="s">
        <v>18833</v>
      </c>
      <c r="B49" s="77" t="s">
        <v>18834</v>
      </c>
      <c r="C49" s="61" t="s">
        <v>6798</v>
      </c>
      <c r="D49" s="61" t="s">
        <v>17482</v>
      </c>
      <c r="E49" s="61" t="s">
        <v>17853</v>
      </c>
      <c r="F49" s="61"/>
      <c r="G49" s="5"/>
      <c r="H49" s="5"/>
      <c r="I49" s="5"/>
      <c r="J49" s="5"/>
    </row>
    <row r="50" spans="1:10" ht="14.1" customHeight="1" thickBot="1" x14ac:dyDescent="0.25">
      <c r="A50" s="82" t="s">
        <v>14828</v>
      </c>
      <c r="B50" s="62" t="s">
        <v>8528</v>
      </c>
      <c r="C50" s="71">
        <v>44105</v>
      </c>
      <c r="D50" s="82" t="s">
        <v>9385</v>
      </c>
      <c r="E50" s="62" t="s">
        <v>13093</v>
      </c>
      <c r="F50" s="61" t="s">
        <v>3080</v>
      </c>
      <c r="G50" s="5"/>
      <c r="H50" s="5"/>
      <c r="I50" s="5"/>
      <c r="J50" s="5"/>
    </row>
    <row r="51" spans="1:10" ht="14.1" customHeight="1" thickBot="1" x14ac:dyDescent="0.25">
      <c r="A51" s="83"/>
      <c r="B51" s="62" t="s">
        <v>1786</v>
      </c>
      <c r="C51" s="60">
        <f>IF(C50="","",IF(AND(MONTH(C50)&gt;=1,MONTH(C50)&lt;=3),1,IF(AND(MONTH(C50)&gt;=4,MONTH(C50)&lt;=6),2,IF(AND(MONTH(C50)&gt;=7,MONTH(C50)&lt;=9),3,4))))</f>
        <v>4</v>
      </c>
      <c r="D51" s="83"/>
      <c r="E51" s="62" t="s">
        <v>2417</v>
      </c>
      <c r="F51" s="61" t="s">
        <v>11112</v>
      </c>
      <c r="G51" s="5"/>
      <c r="H51" s="5"/>
      <c r="I51" s="5"/>
      <c r="J51" s="5"/>
    </row>
    <row r="52" spans="1:10" ht="14.1" customHeight="1" thickBot="1" x14ac:dyDescent="0.25">
      <c r="A52" s="83"/>
      <c r="B52" s="62" t="s">
        <v>12942</v>
      </c>
      <c r="C52" s="71">
        <v>44196</v>
      </c>
      <c r="D52" s="83"/>
      <c r="E52" s="62" t="s">
        <v>3073</v>
      </c>
      <c r="F52" s="61" t="s">
        <v>11112</v>
      </c>
      <c r="G52" s="5"/>
      <c r="H52" s="5"/>
      <c r="I52" s="5"/>
      <c r="J52" s="5"/>
    </row>
    <row r="53" spans="1:10" ht="14.1" customHeight="1" thickBot="1" x14ac:dyDescent="0.25">
      <c r="A53" s="83"/>
      <c r="B53" s="62" t="s">
        <v>1786</v>
      </c>
      <c r="C53" s="60">
        <f>IF(C52="","",IF(AND(MONTH(C52)&gt;=1,MONTH(C52)&lt;=3),1,IF(AND(MONTH(C52)&gt;=4,MONTH(C52)&lt;=6),2,IF(AND(MONTH(C52)&gt;=7,MONTH(C52)&lt;=9),3,4))))</f>
        <v>4</v>
      </c>
      <c r="D53" s="83"/>
      <c r="E53" s="62" t="s">
        <v>13192</v>
      </c>
      <c r="F53" s="61" t="s">
        <v>11112</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15735</v>
      </c>
      <c r="B55" s="67" t="s">
        <v>16146</v>
      </c>
      <c r="C55" s="67" t="s">
        <v>15641</v>
      </c>
      <c r="D55" s="67" t="s">
        <v>15251</v>
      </c>
      <c r="E55" s="67" t="s">
        <v>6932</v>
      </c>
      <c r="F55" s="67" t="s">
        <v>15280</v>
      </c>
      <c r="G55" s="5"/>
      <c r="H55" s="5"/>
      <c r="I55" s="5"/>
      <c r="J55" s="5"/>
    </row>
    <row r="56" spans="1:10" ht="13.5" customHeight="1" x14ac:dyDescent="0.2">
      <c r="A56" s="78">
        <v>15101505</v>
      </c>
      <c r="B56" s="64" t="str">
        <f ca="1">IFERROR(INDEX(UNSPSCDes,MATCH(INDIRECT(ADDRESS(ROW(),COLUMN()-1,4)),UNSPSCCode,0)),"")</f>
        <v>Combustible diesel</v>
      </c>
      <c r="C56" s="63" t="s">
        <v>9559</v>
      </c>
      <c r="D56" s="63">
        <v>1164</v>
      </c>
      <c r="E56" s="66">
        <v>181</v>
      </c>
      <c r="F56" s="65">
        <f ca="1">INDIRECT(ADDRESS(ROW(),COLUMN()-2,4))*INDIRECT(ADDRESS(ROW(),COLUMN()-1,4))</f>
        <v>210684</v>
      </c>
      <c r="G56" s="5"/>
      <c r="H56" s="5"/>
      <c r="I56" s="5"/>
      <c r="J56" s="5"/>
    </row>
    <row r="57" spans="1:10" ht="14.1" customHeight="1" x14ac:dyDescent="0.2">
      <c r="A57" s="5"/>
      <c r="B57" s="5"/>
      <c r="C57" s="5"/>
      <c r="D57" s="5"/>
      <c r="E57" s="68" t="s">
        <v>12550</v>
      </c>
      <c r="F57" s="69">
        <f ca="1">SUM(Table36[MONTO TOTAL ESTIMADO])</f>
        <v>210684</v>
      </c>
      <c r="G57" s="5"/>
      <c r="H57" s="5" t="str">
        <f>C49</f>
        <v>Servicios</v>
      </c>
      <c r="I57" s="5" t="str">
        <f>E49</f>
        <v>No</v>
      </c>
      <c r="J57" s="5" t="str">
        <f>D49</f>
        <v>Compras Menores</v>
      </c>
    </row>
    <row r="58" spans="1:10" ht="14.1" customHeight="1" thickBot="1" x14ac:dyDescent="0.3"/>
    <row r="59" spans="1:10" ht="33.75" customHeight="1" thickBot="1" x14ac:dyDescent="0.25">
      <c r="A59" s="59" t="s">
        <v>16382</v>
      </c>
      <c r="B59" s="59" t="s">
        <v>161</v>
      </c>
      <c r="C59" s="59" t="s">
        <v>11724</v>
      </c>
      <c r="D59" s="59" t="s">
        <v>14378</v>
      </c>
      <c r="E59" s="59" t="s">
        <v>10962</v>
      </c>
      <c r="F59" s="59" t="s">
        <v>11095</v>
      </c>
      <c r="G59" s="5"/>
      <c r="H59" s="5"/>
      <c r="I59" s="5"/>
      <c r="J59" s="5"/>
    </row>
    <row r="60" spans="1:10" ht="13.5" customHeight="1" thickBot="1" x14ac:dyDescent="0.25">
      <c r="A60" s="77" t="s">
        <v>18833</v>
      </c>
      <c r="B60" s="77" t="s">
        <v>18835</v>
      </c>
      <c r="C60" s="61" t="s">
        <v>17797</v>
      </c>
      <c r="D60" s="61" t="s">
        <v>1875</v>
      </c>
      <c r="E60" s="61" t="s">
        <v>17853</v>
      </c>
      <c r="F60" s="61"/>
      <c r="G60" s="5"/>
      <c r="H60" s="5"/>
      <c r="I60" s="5"/>
      <c r="J60" s="5"/>
    </row>
    <row r="61" spans="1:10" ht="14.1" customHeight="1" thickBot="1" x14ac:dyDescent="0.25">
      <c r="A61" s="82" t="s">
        <v>14828</v>
      </c>
      <c r="B61" s="62" t="s">
        <v>8528</v>
      </c>
      <c r="C61" s="71">
        <v>43831</v>
      </c>
      <c r="D61" s="82" t="s">
        <v>9385</v>
      </c>
      <c r="E61" s="62" t="s">
        <v>13093</v>
      </c>
      <c r="F61" s="61" t="s">
        <v>3080</v>
      </c>
      <c r="G61" s="5"/>
      <c r="H61" s="5"/>
      <c r="I61" s="5"/>
      <c r="J61" s="5"/>
    </row>
    <row r="62" spans="1:10" ht="14.1" customHeight="1" thickBot="1" x14ac:dyDescent="0.25">
      <c r="A62" s="83"/>
      <c r="B62" s="62" t="s">
        <v>1786</v>
      </c>
      <c r="C62" s="60">
        <f>IF(C61="","",IF(AND(MONTH(C61)&gt;=1,MONTH(C61)&lt;=3),1,IF(AND(MONTH(C61)&gt;=4,MONTH(C61)&lt;=6),2,IF(AND(MONTH(C61)&gt;=7,MONTH(C61)&lt;=9),3,4))))</f>
        <v>1</v>
      </c>
      <c r="D62" s="83"/>
      <c r="E62" s="62" t="s">
        <v>2417</v>
      </c>
      <c r="F62" s="61" t="s">
        <v>11112</v>
      </c>
      <c r="G62" s="5"/>
      <c r="H62" s="5"/>
      <c r="I62" s="5"/>
      <c r="J62" s="5"/>
    </row>
    <row r="63" spans="1:10" ht="14.1" customHeight="1" thickBot="1" x14ac:dyDescent="0.25">
      <c r="A63" s="83"/>
      <c r="B63" s="62" t="s">
        <v>12942</v>
      </c>
      <c r="C63" s="71">
        <v>43921</v>
      </c>
      <c r="D63" s="83"/>
      <c r="E63" s="62" t="s">
        <v>3073</v>
      </c>
      <c r="F63" s="61" t="s">
        <v>11112</v>
      </c>
      <c r="G63" s="5"/>
      <c r="H63" s="5"/>
      <c r="I63" s="5"/>
      <c r="J63" s="5"/>
    </row>
    <row r="64" spans="1:10" ht="14.1" customHeight="1" thickBot="1" x14ac:dyDescent="0.25">
      <c r="A64" s="83"/>
      <c r="B64" s="62" t="s">
        <v>1786</v>
      </c>
      <c r="C64" s="60">
        <f>IF(C63="","",IF(AND(MONTH(C63)&gt;=1,MONTH(C63)&lt;=3),1,IF(AND(MONTH(C63)&gt;=4,MONTH(C63)&lt;=6),2,IF(AND(MONTH(C63)&gt;=7,MONTH(C63)&lt;=9),3,4))))</f>
        <v>1</v>
      </c>
      <c r="D64" s="83"/>
      <c r="E64" s="62" t="s">
        <v>13192</v>
      </c>
      <c r="F64" s="61" t="s">
        <v>11112</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15735</v>
      </c>
      <c r="B66" s="67" t="s">
        <v>16146</v>
      </c>
      <c r="C66" s="67" t="s">
        <v>15641</v>
      </c>
      <c r="D66" s="67" t="s">
        <v>15251</v>
      </c>
      <c r="E66" s="67" t="s">
        <v>6932</v>
      </c>
      <c r="F66" s="67" t="s">
        <v>15280</v>
      </c>
      <c r="G66" s="5"/>
      <c r="H66" s="5"/>
      <c r="I66" s="5"/>
      <c r="J66" s="5"/>
    </row>
    <row r="67" spans="1:10" ht="13.5" customHeight="1" x14ac:dyDescent="0.2">
      <c r="A67" s="78">
        <v>15101505</v>
      </c>
      <c r="B67" s="64" t="str">
        <f ca="1">IFERROR(INDEX(UNSPSCDes,MATCH(INDIRECT(ADDRESS(ROW(),COLUMN()-1,4)),UNSPSCCode,0)),"")</f>
        <v>Combustible diesel</v>
      </c>
      <c r="C67" s="63" t="s">
        <v>9559</v>
      </c>
      <c r="D67" s="63">
        <v>6465</v>
      </c>
      <c r="E67" s="66">
        <v>181</v>
      </c>
      <c r="F67" s="65">
        <f ca="1">INDIRECT(ADDRESS(ROW(),COLUMN()-2,4))*INDIRECT(ADDRESS(ROW(),COLUMN()-1,4))</f>
        <v>1170165</v>
      </c>
      <c r="G67" s="5"/>
      <c r="H67" s="5"/>
      <c r="I67" s="5"/>
      <c r="J67" s="5"/>
    </row>
    <row r="68" spans="1:10" ht="14.1" customHeight="1" x14ac:dyDescent="0.2">
      <c r="A68" s="5"/>
      <c r="B68" s="5"/>
      <c r="C68" s="5"/>
      <c r="D68" s="5"/>
      <c r="E68" s="68" t="s">
        <v>12550</v>
      </c>
      <c r="F68" s="69">
        <f ca="1">SUM(Table311[MONTO TOTAL ESTIMADO])</f>
        <v>1170165</v>
      </c>
      <c r="G68" s="5"/>
      <c r="H68" s="5" t="str">
        <f>C60</f>
        <v>Bienes</v>
      </c>
      <c r="I68" s="5" t="str">
        <f>E60</f>
        <v>No</v>
      </c>
      <c r="J68" s="5" t="str">
        <f>D60</f>
        <v>Comparacion de Precios</v>
      </c>
    </row>
    <row r="69" spans="1:10" ht="14.1" customHeight="1" thickBot="1" x14ac:dyDescent="0.3"/>
    <row r="70" spans="1:10" ht="33.75" customHeight="1" thickBot="1" x14ac:dyDescent="0.25">
      <c r="A70" s="59" t="s">
        <v>16382</v>
      </c>
      <c r="B70" s="59" t="s">
        <v>161</v>
      </c>
      <c r="C70" s="59" t="s">
        <v>11724</v>
      </c>
      <c r="D70" s="59" t="s">
        <v>14378</v>
      </c>
      <c r="E70" s="59" t="s">
        <v>10962</v>
      </c>
      <c r="F70" s="59" t="s">
        <v>11095</v>
      </c>
      <c r="G70" s="5"/>
      <c r="H70" s="5"/>
      <c r="I70" s="5"/>
      <c r="J70" s="5"/>
    </row>
    <row r="71" spans="1:10" ht="13.5" customHeight="1" thickBot="1" x14ac:dyDescent="0.25">
      <c r="A71" s="77" t="s">
        <v>18833</v>
      </c>
      <c r="B71" s="77" t="s">
        <v>18835</v>
      </c>
      <c r="C71" s="61" t="s">
        <v>17797</v>
      </c>
      <c r="D71" s="61" t="s">
        <v>1875</v>
      </c>
      <c r="E71" s="61" t="s">
        <v>17853</v>
      </c>
      <c r="F71" s="61"/>
      <c r="G71" s="5"/>
      <c r="H71" s="5"/>
      <c r="I71" s="5"/>
      <c r="J71" s="5"/>
    </row>
    <row r="72" spans="1:10" ht="14.1" customHeight="1" thickBot="1" x14ac:dyDescent="0.25">
      <c r="A72" s="82" t="s">
        <v>14828</v>
      </c>
      <c r="B72" s="62" t="s">
        <v>8528</v>
      </c>
      <c r="C72" s="71">
        <v>43922</v>
      </c>
      <c r="D72" s="82" t="s">
        <v>9385</v>
      </c>
      <c r="E72" s="62" t="s">
        <v>13093</v>
      </c>
      <c r="F72" s="61" t="s">
        <v>3080</v>
      </c>
      <c r="G72" s="5"/>
      <c r="H72" s="5"/>
      <c r="I72" s="5"/>
      <c r="J72" s="5"/>
    </row>
    <row r="73" spans="1:10" ht="14.1" customHeight="1" thickBot="1" x14ac:dyDescent="0.25">
      <c r="A73" s="83"/>
      <c r="B73" s="62" t="s">
        <v>1786</v>
      </c>
      <c r="C73" s="60">
        <f>IF(C72="","",IF(AND(MONTH(C72)&gt;=1,MONTH(C72)&lt;=3),1,IF(AND(MONTH(C72)&gt;=4,MONTH(C72)&lt;=6),2,IF(AND(MONTH(C72)&gt;=7,MONTH(C72)&lt;=9),3,4))))</f>
        <v>2</v>
      </c>
      <c r="D73" s="83"/>
      <c r="E73" s="62" t="s">
        <v>2417</v>
      </c>
      <c r="F73" s="61" t="s">
        <v>11112</v>
      </c>
      <c r="G73" s="5"/>
      <c r="H73" s="5"/>
      <c r="I73" s="5"/>
      <c r="J73" s="5"/>
    </row>
    <row r="74" spans="1:10" ht="14.1" customHeight="1" thickBot="1" x14ac:dyDescent="0.25">
      <c r="A74" s="83"/>
      <c r="B74" s="62" t="s">
        <v>12942</v>
      </c>
      <c r="C74" s="71">
        <v>44012</v>
      </c>
      <c r="D74" s="83"/>
      <c r="E74" s="62" t="s">
        <v>3073</v>
      </c>
      <c r="F74" s="61" t="s">
        <v>11112</v>
      </c>
      <c r="G74" s="5"/>
      <c r="H74" s="5"/>
      <c r="I74" s="5"/>
      <c r="J74" s="5"/>
    </row>
    <row r="75" spans="1:10" ht="14.1" customHeight="1" thickBot="1" x14ac:dyDescent="0.25">
      <c r="A75" s="83"/>
      <c r="B75" s="62" t="s">
        <v>1786</v>
      </c>
      <c r="C75" s="60">
        <f>IF(C74="","",IF(AND(MONTH(C74)&gt;=1,MONTH(C74)&lt;=3),1,IF(AND(MONTH(C74)&gt;=4,MONTH(C74)&lt;=6),2,IF(AND(MONTH(C74)&gt;=7,MONTH(C74)&lt;=9),3,4))))</f>
        <v>2</v>
      </c>
      <c r="D75" s="83"/>
      <c r="E75" s="62" t="s">
        <v>13192</v>
      </c>
      <c r="F75" s="61" t="s">
        <v>11112</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15735</v>
      </c>
      <c r="B77" s="67" t="s">
        <v>16146</v>
      </c>
      <c r="C77" s="67" t="s">
        <v>15641</v>
      </c>
      <c r="D77" s="67" t="s">
        <v>15251</v>
      </c>
      <c r="E77" s="67" t="s">
        <v>6932</v>
      </c>
      <c r="F77" s="67" t="s">
        <v>15280</v>
      </c>
      <c r="G77" s="5"/>
      <c r="H77" s="5"/>
      <c r="I77" s="5"/>
      <c r="J77" s="5"/>
    </row>
    <row r="78" spans="1:10" ht="13.5" customHeight="1" x14ac:dyDescent="0.2">
      <c r="A78" s="78">
        <v>15101505</v>
      </c>
      <c r="B78" s="64" t="str">
        <f ca="1">IFERROR(INDEX(UNSPSCDes,MATCH(INDIRECT(ADDRESS(ROW(),COLUMN()-1,4)),UNSPSCCode,0)),"")</f>
        <v>Combustible diesel</v>
      </c>
      <c r="C78" s="63" t="s">
        <v>9559</v>
      </c>
      <c r="D78" s="63">
        <v>6465</v>
      </c>
      <c r="E78" s="66">
        <v>181</v>
      </c>
      <c r="F78" s="65">
        <f ca="1">INDIRECT(ADDRESS(ROW(),COLUMN()-2,4))*INDIRECT(ADDRESS(ROW(),COLUMN()-1,4))</f>
        <v>1170165</v>
      </c>
      <c r="G78" s="5"/>
      <c r="H78" s="5"/>
      <c r="I78" s="5"/>
      <c r="J78" s="5"/>
    </row>
    <row r="79" spans="1:10" ht="14.1" customHeight="1" x14ac:dyDescent="0.2">
      <c r="A79" s="5"/>
      <c r="B79" s="5"/>
      <c r="C79" s="5"/>
      <c r="D79" s="5"/>
      <c r="E79" s="68" t="s">
        <v>12550</v>
      </c>
      <c r="F79" s="69">
        <f ca="1">SUM(Table312[MONTO TOTAL ESTIMADO])</f>
        <v>1170165</v>
      </c>
      <c r="G79" s="5"/>
      <c r="H79" s="5" t="str">
        <f>C71</f>
        <v>Bienes</v>
      </c>
      <c r="I79" s="5" t="str">
        <f>E71</f>
        <v>No</v>
      </c>
      <c r="J79" s="5" t="str">
        <f>D71</f>
        <v>Comparacion de Precios</v>
      </c>
    </row>
    <row r="80" spans="1:10" ht="14.1" customHeight="1" thickBot="1" x14ac:dyDescent="0.3"/>
    <row r="81" spans="1:10" ht="33.75" customHeight="1" thickBot="1" x14ac:dyDescent="0.25">
      <c r="A81" s="59" t="s">
        <v>16382</v>
      </c>
      <c r="B81" s="59" t="s">
        <v>161</v>
      </c>
      <c r="C81" s="59" t="s">
        <v>11724</v>
      </c>
      <c r="D81" s="59" t="s">
        <v>14378</v>
      </c>
      <c r="E81" s="59" t="s">
        <v>10962</v>
      </c>
      <c r="F81" s="59" t="s">
        <v>11095</v>
      </c>
      <c r="G81" s="5"/>
      <c r="H81" s="5"/>
      <c r="I81" s="5"/>
      <c r="J81" s="5"/>
    </row>
    <row r="82" spans="1:10" ht="13.5" customHeight="1" thickBot="1" x14ac:dyDescent="0.25">
      <c r="A82" s="77" t="s">
        <v>18833</v>
      </c>
      <c r="B82" s="77" t="s">
        <v>18835</v>
      </c>
      <c r="C82" s="61" t="s">
        <v>17797</v>
      </c>
      <c r="D82" s="61" t="s">
        <v>1875</v>
      </c>
      <c r="E82" s="61" t="s">
        <v>17853</v>
      </c>
      <c r="F82" s="61"/>
      <c r="G82" s="5"/>
      <c r="H82" s="5"/>
      <c r="I82" s="5"/>
      <c r="J82" s="5"/>
    </row>
    <row r="83" spans="1:10" ht="14.1" customHeight="1" thickBot="1" x14ac:dyDescent="0.25">
      <c r="A83" s="82" t="s">
        <v>14828</v>
      </c>
      <c r="B83" s="62" t="s">
        <v>8528</v>
      </c>
      <c r="C83" s="71">
        <v>44013</v>
      </c>
      <c r="D83" s="82" t="s">
        <v>9385</v>
      </c>
      <c r="E83" s="62" t="s">
        <v>13093</v>
      </c>
      <c r="F83" s="61" t="s">
        <v>3080</v>
      </c>
      <c r="G83" s="5"/>
      <c r="H83" s="5"/>
      <c r="I83" s="5"/>
      <c r="J83" s="5"/>
    </row>
    <row r="84" spans="1:10" ht="14.1" customHeight="1" thickBot="1" x14ac:dyDescent="0.25">
      <c r="A84" s="83"/>
      <c r="B84" s="62" t="s">
        <v>1786</v>
      </c>
      <c r="C84" s="60">
        <f>IF(C83="","",IF(AND(MONTH(C83)&gt;=1,MONTH(C83)&lt;=3),1,IF(AND(MONTH(C83)&gt;=4,MONTH(C83)&lt;=6),2,IF(AND(MONTH(C83)&gt;=7,MONTH(C83)&lt;=9),3,4))))</f>
        <v>3</v>
      </c>
      <c r="D84" s="83"/>
      <c r="E84" s="62" t="s">
        <v>2417</v>
      </c>
      <c r="F84" s="61" t="s">
        <v>11112</v>
      </c>
      <c r="G84" s="5"/>
      <c r="H84" s="5"/>
      <c r="I84" s="5"/>
      <c r="J84" s="5"/>
    </row>
    <row r="85" spans="1:10" ht="14.1" customHeight="1" thickBot="1" x14ac:dyDescent="0.25">
      <c r="A85" s="83"/>
      <c r="B85" s="62" t="s">
        <v>12942</v>
      </c>
      <c r="C85" s="71">
        <v>44104</v>
      </c>
      <c r="D85" s="83"/>
      <c r="E85" s="62" t="s">
        <v>3073</v>
      </c>
      <c r="F85" s="61" t="s">
        <v>11112</v>
      </c>
      <c r="G85" s="5"/>
      <c r="H85" s="5"/>
      <c r="I85" s="5"/>
      <c r="J85" s="5"/>
    </row>
    <row r="86" spans="1:10" ht="14.1" customHeight="1" thickBot="1" x14ac:dyDescent="0.25">
      <c r="A86" s="83"/>
      <c r="B86" s="62" t="s">
        <v>1786</v>
      </c>
      <c r="C86" s="60">
        <f>IF(C85="","",IF(AND(MONTH(C85)&gt;=1,MONTH(C85)&lt;=3),1,IF(AND(MONTH(C85)&gt;=4,MONTH(C85)&lt;=6),2,IF(AND(MONTH(C85)&gt;=7,MONTH(C85)&lt;=9),3,4))))</f>
        <v>3</v>
      </c>
      <c r="D86" s="83"/>
      <c r="E86" s="62" t="s">
        <v>13192</v>
      </c>
      <c r="F86" s="61" t="s">
        <v>11112</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15735</v>
      </c>
      <c r="B88" s="67" t="s">
        <v>16146</v>
      </c>
      <c r="C88" s="67" t="s">
        <v>15641</v>
      </c>
      <c r="D88" s="67" t="s">
        <v>15251</v>
      </c>
      <c r="E88" s="67" t="s">
        <v>6932</v>
      </c>
      <c r="F88" s="67" t="s">
        <v>15280</v>
      </c>
      <c r="G88" s="5"/>
      <c r="H88" s="5"/>
      <c r="I88" s="5"/>
      <c r="J88" s="5"/>
    </row>
    <row r="89" spans="1:10" ht="13.5" customHeight="1" x14ac:dyDescent="0.2">
      <c r="A89" s="78">
        <v>15101505</v>
      </c>
      <c r="B89" s="64" t="str">
        <f ca="1">IFERROR(INDEX(UNSPSCDes,MATCH(INDIRECT(ADDRESS(ROW(),COLUMN()-1,4)),UNSPSCCode,0)),"")</f>
        <v>Combustible diesel</v>
      </c>
      <c r="C89" s="63" t="s">
        <v>9559</v>
      </c>
      <c r="D89" s="63">
        <v>6465</v>
      </c>
      <c r="E89" s="66">
        <v>181</v>
      </c>
      <c r="F89" s="65">
        <f ca="1">INDIRECT(ADDRESS(ROW(),COLUMN()-2,4))*INDIRECT(ADDRESS(ROW(),COLUMN()-1,4))</f>
        <v>1170165</v>
      </c>
      <c r="G89" s="5"/>
      <c r="H89" s="5"/>
      <c r="I89" s="5"/>
      <c r="J89" s="5"/>
    </row>
    <row r="90" spans="1:10" ht="14.1" customHeight="1" x14ac:dyDescent="0.2">
      <c r="A90" s="5"/>
      <c r="B90" s="5"/>
      <c r="C90" s="5"/>
      <c r="D90" s="5"/>
      <c r="E90" s="68" t="s">
        <v>12550</v>
      </c>
      <c r="F90" s="69">
        <f ca="1">SUM(Table313[MONTO TOTAL ESTIMADO])</f>
        <v>1170165</v>
      </c>
      <c r="G90" s="5"/>
      <c r="H90" s="5" t="str">
        <f>C82</f>
        <v>Bienes</v>
      </c>
      <c r="I90" s="5" t="str">
        <f>E82</f>
        <v>No</v>
      </c>
      <c r="J90" s="5" t="str">
        <f>D82</f>
        <v>Comparacion de Precios</v>
      </c>
    </row>
    <row r="91" spans="1:10" ht="14.1" customHeight="1" thickBot="1" x14ac:dyDescent="0.3"/>
    <row r="92" spans="1:10" ht="33.75" customHeight="1" thickBot="1" x14ac:dyDescent="0.25">
      <c r="A92" s="59" t="s">
        <v>16382</v>
      </c>
      <c r="B92" s="59" t="s">
        <v>161</v>
      </c>
      <c r="C92" s="59" t="s">
        <v>11724</v>
      </c>
      <c r="D92" s="59" t="s">
        <v>14378</v>
      </c>
      <c r="E92" s="59" t="s">
        <v>10962</v>
      </c>
      <c r="F92" s="59" t="s">
        <v>11095</v>
      </c>
      <c r="G92" s="5"/>
      <c r="H92" s="5"/>
      <c r="I92" s="5"/>
      <c r="J92" s="5"/>
    </row>
    <row r="93" spans="1:10" ht="13.5" customHeight="1" thickBot="1" x14ac:dyDescent="0.25">
      <c r="A93" s="77" t="s">
        <v>18833</v>
      </c>
      <c r="B93" s="77" t="s">
        <v>18835</v>
      </c>
      <c r="C93" s="61" t="s">
        <v>17797</v>
      </c>
      <c r="D93" s="61" t="s">
        <v>1875</v>
      </c>
      <c r="E93" s="61" t="s">
        <v>17853</v>
      </c>
      <c r="F93" s="61"/>
      <c r="G93" s="5"/>
      <c r="H93" s="5"/>
      <c r="I93" s="5"/>
      <c r="J93" s="5"/>
    </row>
    <row r="94" spans="1:10" ht="14.1" customHeight="1" thickBot="1" x14ac:dyDescent="0.25">
      <c r="A94" s="82" t="s">
        <v>14828</v>
      </c>
      <c r="B94" s="62" t="s">
        <v>8528</v>
      </c>
      <c r="C94" s="71">
        <v>44105</v>
      </c>
      <c r="D94" s="82" t="s">
        <v>9385</v>
      </c>
      <c r="E94" s="62" t="s">
        <v>13093</v>
      </c>
      <c r="F94" s="61" t="s">
        <v>3080</v>
      </c>
      <c r="G94" s="5"/>
      <c r="H94" s="5"/>
      <c r="I94" s="5"/>
      <c r="J94" s="5"/>
    </row>
    <row r="95" spans="1:10" ht="14.1" customHeight="1" thickBot="1" x14ac:dyDescent="0.25">
      <c r="A95" s="83"/>
      <c r="B95" s="62" t="s">
        <v>1786</v>
      </c>
      <c r="C95" s="60">
        <f>IF(C94="","",IF(AND(MONTH(C94)&gt;=1,MONTH(C94)&lt;=3),1,IF(AND(MONTH(C94)&gt;=4,MONTH(C94)&lt;=6),2,IF(AND(MONTH(C94)&gt;=7,MONTH(C94)&lt;=9),3,4))))</f>
        <v>4</v>
      </c>
      <c r="D95" s="83"/>
      <c r="E95" s="62" t="s">
        <v>2417</v>
      </c>
      <c r="F95" s="61" t="s">
        <v>11112</v>
      </c>
      <c r="G95" s="5"/>
      <c r="H95" s="5"/>
      <c r="I95" s="5"/>
      <c r="J95" s="5"/>
    </row>
    <row r="96" spans="1:10" ht="14.1" customHeight="1" thickBot="1" x14ac:dyDescent="0.25">
      <c r="A96" s="83"/>
      <c r="B96" s="62" t="s">
        <v>12942</v>
      </c>
      <c r="C96" s="71">
        <v>44196</v>
      </c>
      <c r="D96" s="83"/>
      <c r="E96" s="62" t="s">
        <v>3073</v>
      </c>
      <c r="F96" s="61" t="s">
        <v>11112</v>
      </c>
      <c r="G96" s="5"/>
      <c r="H96" s="5"/>
      <c r="I96" s="5"/>
      <c r="J96" s="5"/>
    </row>
    <row r="97" spans="1:10" ht="14.1" customHeight="1" thickBot="1" x14ac:dyDescent="0.25">
      <c r="A97" s="83"/>
      <c r="B97" s="62" t="s">
        <v>1786</v>
      </c>
      <c r="C97" s="60">
        <f>IF(C96="","",IF(AND(MONTH(C96)&gt;=1,MONTH(C96)&lt;=3),1,IF(AND(MONTH(C96)&gt;=4,MONTH(C96)&lt;=6),2,IF(AND(MONTH(C96)&gt;=7,MONTH(C96)&lt;=9),3,4))))</f>
        <v>4</v>
      </c>
      <c r="D97" s="83"/>
      <c r="E97" s="62" t="s">
        <v>13192</v>
      </c>
      <c r="F97" s="61" t="s">
        <v>11112</v>
      </c>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15735</v>
      </c>
      <c r="B99" s="67" t="s">
        <v>16146</v>
      </c>
      <c r="C99" s="67" t="s">
        <v>15641</v>
      </c>
      <c r="D99" s="67" t="s">
        <v>15251</v>
      </c>
      <c r="E99" s="67" t="s">
        <v>6932</v>
      </c>
      <c r="F99" s="67" t="s">
        <v>15280</v>
      </c>
      <c r="G99" s="5"/>
      <c r="H99" s="5"/>
      <c r="I99" s="5"/>
      <c r="J99" s="5"/>
    </row>
    <row r="100" spans="1:10" ht="13.5" customHeight="1" x14ac:dyDescent="0.2">
      <c r="A100" s="78">
        <v>15101505</v>
      </c>
      <c r="B100" s="64" t="str">
        <f ca="1">IFERROR(INDEX(UNSPSCDes,MATCH(INDIRECT(ADDRESS(ROW(),COLUMN()-1,4)),UNSPSCCode,0)),"")</f>
        <v>Combustible diesel</v>
      </c>
      <c r="C100" s="63" t="s">
        <v>9559</v>
      </c>
      <c r="D100" s="63">
        <v>6465</v>
      </c>
      <c r="E100" s="66">
        <v>181</v>
      </c>
      <c r="F100" s="65">
        <f ca="1">INDIRECT(ADDRESS(ROW(),COLUMN()-2,4))*INDIRECT(ADDRESS(ROW(),COLUMN()-1,4))</f>
        <v>1170165</v>
      </c>
      <c r="G100" s="5"/>
      <c r="H100" s="5"/>
      <c r="I100" s="5"/>
      <c r="J100" s="5"/>
    </row>
    <row r="101" spans="1:10" ht="14.1" customHeight="1" x14ac:dyDescent="0.2">
      <c r="A101" s="5"/>
      <c r="B101" s="5"/>
      <c r="C101" s="5"/>
      <c r="D101" s="5"/>
      <c r="E101" s="68" t="s">
        <v>12550</v>
      </c>
      <c r="F101" s="69">
        <f ca="1">SUM(Table314[MONTO TOTAL ESTIMADO])</f>
        <v>1170165</v>
      </c>
      <c r="G101" s="5"/>
      <c r="H101" s="5" t="str">
        <f>C93</f>
        <v>Bienes</v>
      </c>
      <c r="I101" s="5" t="str">
        <f>E93</f>
        <v>No</v>
      </c>
      <c r="J101" s="5" t="str">
        <f>D93</f>
        <v>Comparacion de Precios</v>
      </c>
    </row>
    <row r="102" spans="1:10" ht="14.1" customHeight="1" thickBot="1" x14ac:dyDescent="0.3"/>
    <row r="103" spans="1:10" ht="33.75" customHeight="1" thickBot="1" x14ac:dyDescent="0.25">
      <c r="A103" s="59" t="s">
        <v>16382</v>
      </c>
      <c r="B103" s="59" t="s">
        <v>161</v>
      </c>
      <c r="C103" s="59" t="s">
        <v>11724</v>
      </c>
      <c r="D103" s="59" t="s">
        <v>14378</v>
      </c>
      <c r="E103" s="59" t="s">
        <v>10962</v>
      </c>
      <c r="F103" s="59" t="s">
        <v>11095</v>
      </c>
      <c r="G103" s="5"/>
      <c r="H103" s="5"/>
      <c r="I103" s="5"/>
      <c r="J103" s="5"/>
    </row>
    <row r="104" spans="1:10" ht="13.5" customHeight="1" thickBot="1" x14ac:dyDescent="0.25">
      <c r="A104" s="77" t="s">
        <v>18836</v>
      </c>
      <c r="B104" s="77" t="s">
        <v>18836</v>
      </c>
      <c r="C104" s="61" t="s">
        <v>6798</v>
      </c>
      <c r="D104" s="61" t="s">
        <v>10171</v>
      </c>
      <c r="E104" s="61" t="s">
        <v>17853</v>
      </c>
      <c r="F104" s="61"/>
      <c r="G104" s="5"/>
      <c r="H104" s="5"/>
      <c r="I104" s="5"/>
      <c r="J104" s="5"/>
    </row>
    <row r="105" spans="1:10" ht="14.1" customHeight="1" thickBot="1" x14ac:dyDescent="0.25">
      <c r="A105" s="82" t="s">
        <v>14828</v>
      </c>
      <c r="B105" s="62" t="s">
        <v>8528</v>
      </c>
      <c r="C105" s="71">
        <v>43831</v>
      </c>
      <c r="D105" s="82" t="s">
        <v>9385</v>
      </c>
      <c r="E105" s="62" t="s">
        <v>13093</v>
      </c>
      <c r="F105" s="61" t="s">
        <v>3080</v>
      </c>
      <c r="G105" s="5"/>
      <c r="H105" s="5"/>
      <c r="I105" s="5"/>
      <c r="J105" s="5"/>
    </row>
    <row r="106" spans="1:10" ht="14.1" customHeight="1" thickBot="1" x14ac:dyDescent="0.25">
      <c r="A106" s="83"/>
      <c r="B106" s="62" t="s">
        <v>1786</v>
      </c>
      <c r="C106" s="60">
        <f>IF(C105="","",IF(AND(MONTH(C105)&gt;=1,MONTH(C105)&lt;=3),1,IF(AND(MONTH(C105)&gt;=4,MONTH(C105)&lt;=6),2,IF(AND(MONTH(C105)&gt;=7,MONTH(C105)&lt;=9),3,4))))</f>
        <v>1</v>
      </c>
      <c r="D106" s="83"/>
      <c r="E106" s="62" t="s">
        <v>2417</v>
      </c>
      <c r="F106" s="61" t="s">
        <v>11112</v>
      </c>
      <c r="G106" s="5"/>
      <c r="H106" s="5"/>
      <c r="I106" s="5"/>
      <c r="J106" s="5"/>
    </row>
    <row r="107" spans="1:10" ht="14.1" customHeight="1" thickBot="1" x14ac:dyDescent="0.25">
      <c r="A107" s="83"/>
      <c r="B107" s="62" t="s">
        <v>12942</v>
      </c>
      <c r="C107" s="71">
        <v>43921</v>
      </c>
      <c r="D107" s="83"/>
      <c r="E107" s="62" t="s">
        <v>3073</v>
      </c>
      <c r="F107" s="61" t="s">
        <v>11112</v>
      </c>
      <c r="G107" s="5"/>
      <c r="H107" s="5"/>
      <c r="I107" s="5"/>
      <c r="J107" s="5"/>
    </row>
    <row r="108" spans="1:10" ht="14.1" customHeight="1" thickBot="1" x14ac:dyDescent="0.25">
      <c r="A108" s="83"/>
      <c r="B108" s="62" t="s">
        <v>1786</v>
      </c>
      <c r="C108" s="60">
        <f>IF(C107="","",IF(AND(MONTH(C107)&gt;=1,MONTH(C107)&lt;=3),1,IF(AND(MONTH(C107)&gt;=4,MONTH(C107)&lt;=6),2,IF(AND(MONTH(C107)&gt;=7,MONTH(C107)&lt;=9),3,4))))</f>
        <v>1</v>
      </c>
      <c r="D108" s="83"/>
      <c r="E108" s="62" t="s">
        <v>13192</v>
      </c>
      <c r="F108" s="61" t="s">
        <v>11112</v>
      </c>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15735</v>
      </c>
      <c r="B110" s="67" t="s">
        <v>16146</v>
      </c>
      <c r="C110" s="67" t="s">
        <v>15641</v>
      </c>
      <c r="D110" s="67" t="s">
        <v>15251</v>
      </c>
      <c r="E110" s="67" t="s">
        <v>6932</v>
      </c>
      <c r="F110" s="67" t="s">
        <v>15280</v>
      </c>
      <c r="G110" s="5"/>
      <c r="H110" s="5"/>
      <c r="I110" s="5"/>
      <c r="J110" s="5"/>
    </row>
    <row r="111" spans="1:10" ht="13.5" customHeight="1" x14ac:dyDescent="0.2">
      <c r="A111" s="78">
        <v>15111510</v>
      </c>
      <c r="B111" s="64" t="str">
        <f ca="1">IFERROR(INDEX(UNSPSCDes,MATCH(INDIRECT(ADDRESS(ROW(),COLUMN()-1,4)),UNSPSCCode,0)),"")</f>
        <v>Gas licuado de petróleo</v>
      </c>
      <c r="C111" s="63" t="s">
        <v>9559</v>
      </c>
      <c r="D111" s="63">
        <v>130</v>
      </c>
      <c r="E111" s="66">
        <v>100</v>
      </c>
      <c r="F111" s="65">
        <f ca="1">INDIRECT(ADDRESS(ROW(),COLUMN()-2,4))*INDIRECT(ADDRESS(ROW(),COLUMN()-1,4))</f>
        <v>13000</v>
      </c>
      <c r="G111" s="5"/>
      <c r="H111" s="5"/>
      <c r="I111" s="5"/>
      <c r="J111" s="5"/>
    </row>
    <row r="112" spans="1:10" ht="14.1" customHeight="1" x14ac:dyDescent="0.2">
      <c r="A112" s="5"/>
      <c r="B112" s="5"/>
      <c r="C112" s="5"/>
      <c r="D112" s="5"/>
      <c r="E112" s="68" t="s">
        <v>12550</v>
      </c>
      <c r="F112" s="69">
        <f ca="1">SUM(Table315[MONTO TOTAL ESTIMADO])</f>
        <v>13000</v>
      </c>
      <c r="G112" s="5"/>
      <c r="H112" s="5" t="str">
        <f>C104</f>
        <v>Servicios</v>
      </c>
      <c r="I112" s="5" t="str">
        <f>E104</f>
        <v>No</v>
      </c>
      <c r="J112" s="5" t="str">
        <f>D104</f>
        <v>Compras por debajo del Umbral</v>
      </c>
    </row>
    <row r="113" spans="1:10" ht="14.1" customHeight="1" thickBot="1" x14ac:dyDescent="0.3"/>
    <row r="114" spans="1:10" ht="33.75" customHeight="1" thickBot="1" x14ac:dyDescent="0.25">
      <c r="A114" s="59" t="s">
        <v>16382</v>
      </c>
      <c r="B114" s="59" t="s">
        <v>161</v>
      </c>
      <c r="C114" s="59" t="s">
        <v>11724</v>
      </c>
      <c r="D114" s="59" t="s">
        <v>14378</v>
      </c>
      <c r="E114" s="59" t="s">
        <v>10962</v>
      </c>
      <c r="F114" s="59" t="s">
        <v>11095</v>
      </c>
      <c r="G114" s="5"/>
      <c r="H114" s="5"/>
      <c r="I114" s="5"/>
      <c r="J114" s="5"/>
    </row>
    <row r="115" spans="1:10" ht="13.5" customHeight="1" thickBot="1" x14ac:dyDescent="0.25">
      <c r="A115" s="77" t="s">
        <v>18836</v>
      </c>
      <c r="B115" s="77" t="s">
        <v>18836</v>
      </c>
      <c r="C115" s="61" t="s">
        <v>6798</v>
      </c>
      <c r="D115" s="61" t="s">
        <v>10171</v>
      </c>
      <c r="E115" s="61" t="s">
        <v>17853</v>
      </c>
      <c r="F115" s="61"/>
      <c r="G115" s="5"/>
      <c r="H115" s="5"/>
      <c r="I115" s="5"/>
      <c r="J115" s="5"/>
    </row>
    <row r="116" spans="1:10" ht="14.1" customHeight="1" thickBot="1" x14ac:dyDescent="0.25">
      <c r="A116" s="82" t="s">
        <v>14828</v>
      </c>
      <c r="B116" s="62" t="s">
        <v>8528</v>
      </c>
      <c r="C116" s="71">
        <v>43922</v>
      </c>
      <c r="D116" s="82" t="s">
        <v>9385</v>
      </c>
      <c r="E116" s="62" t="s">
        <v>13093</v>
      </c>
      <c r="F116" s="61" t="s">
        <v>3080</v>
      </c>
      <c r="G116" s="5"/>
      <c r="H116" s="5"/>
      <c r="I116" s="5"/>
      <c r="J116" s="5"/>
    </row>
    <row r="117" spans="1:10" ht="14.1" customHeight="1" thickBot="1" x14ac:dyDescent="0.25">
      <c r="A117" s="83"/>
      <c r="B117" s="62" t="s">
        <v>1786</v>
      </c>
      <c r="C117" s="60">
        <f>IF(C116="","",IF(AND(MONTH(C116)&gt;=1,MONTH(C116)&lt;=3),1,IF(AND(MONTH(C116)&gt;=4,MONTH(C116)&lt;=6),2,IF(AND(MONTH(C116)&gt;=7,MONTH(C116)&lt;=9),3,4))))</f>
        <v>2</v>
      </c>
      <c r="D117" s="83"/>
      <c r="E117" s="62" t="s">
        <v>2417</v>
      </c>
      <c r="F117" s="61" t="s">
        <v>11112</v>
      </c>
      <c r="G117" s="5"/>
      <c r="H117" s="5"/>
      <c r="I117" s="5"/>
      <c r="J117" s="5"/>
    </row>
    <row r="118" spans="1:10" ht="14.1" customHeight="1" thickBot="1" x14ac:dyDescent="0.25">
      <c r="A118" s="83"/>
      <c r="B118" s="62" t="s">
        <v>12942</v>
      </c>
      <c r="C118" s="71">
        <v>44012</v>
      </c>
      <c r="D118" s="83"/>
      <c r="E118" s="62" t="s">
        <v>3073</v>
      </c>
      <c r="F118" s="61" t="s">
        <v>11112</v>
      </c>
      <c r="G118" s="5"/>
      <c r="H118" s="5"/>
      <c r="I118" s="5"/>
      <c r="J118" s="5"/>
    </row>
    <row r="119" spans="1:10" ht="14.1" customHeight="1" thickBot="1" x14ac:dyDescent="0.25">
      <c r="A119" s="83"/>
      <c r="B119" s="62" t="s">
        <v>1786</v>
      </c>
      <c r="C119" s="60">
        <f>IF(C118="","",IF(AND(MONTH(C118)&gt;=1,MONTH(C118)&lt;=3),1,IF(AND(MONTH(C118)&gt;=4,MONTH(C118)&lt;=6),2,IF(AND(MONTH(C118)&gt;=7,MONTH(C118)&lt;=9),3,4))))</f>
        <v>2</v>
      </c>
      <c r="D119" s="83"/>
      <c r="E119" s="62" t="s">
        <v>13192</v>
      </c>
      <c r="F119" s="61" t="s">
        <v>11112</v>
      </c>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15735</v>
      </c>
      <c r="B121" s="67" t="s">
        <v>16146</v>
      </c>
      <c r="C121" s="67" t="s">
        <v>15641</v>
      </c>
      <c r="D121" s="67" t="s">
        <v>15251</v>
      </c>
      <c r="E121" s="67" t="s">
        <v>6932</v>
      </c>
      <c r="F121" s="67" t="s">
        <v>15280</v>
      </c>
      <c r="G121" s="5"/>
      <c r="H121" s="5"/>
      <c r="I121" s="5"/>
      <c r="J121" s="5"/>
    </row>
    <row r="122" spans="1:10" ht="13.5" customHeight="1" x14ac:dyDescent="0.2">
      <c r="A122" s="78">
        <v>15111510</v>
      </c>
      <c r="B122" s="64" t="str">
        <f ca="1">IFERROR(INDEX(UNSPSCDes,MATCH(INDIRECT(ADDRESS(ROW(),COLUMN()-1,4)),UNSPSCCode,0)),"")</f>
        <v>Gas licuado de petróleo</v>
      </c>
      <c r="C122" s="63" t="s">
        <v>9559</v>
      </c>
      <c r="D122" s="63">
        <v>130</v>
      </c>
      <c r="E122" s="66">
        <v>100</v>
      </c>
      <c r="F122" s="65">
        <f ca="1">INDIRECT(ADDRESS(ROW(),COLUMN()-2,4))*INDIRECT(ADDRESS(ROW(),COLUMN()-1,4))</f>
        <v>13000</v>
      </c>
      <c r="G122" s="5"/>
      <c r="H122" s="5"/>
      <c r="I122" s="5"/>
      <c r="J122" s="5"/>
    </row>
    <row r="123" spans="1:10" ht="14.1" customHeight="1" x14ac:dyDescent="0.2">
      <c r="A123" s="5"/>
      <c r="B123" s="5"/>
      <c r="C123" s="5"/>
      <c r="D123" s="5"/>
      <c r="E123" s="68" t="s">
        <v>12550</v>
      </c>
      <c r="F123" s="69">
        <f ca="1">SUM(Table316[MONTO TOTAL ESTIMADO])</f>
        <v>13000</v>
      </c>
      <c r="G123" s="5"/>
      <c r="H123" s="5" t="str">
        <f>C115</f>
        <v>Servicios</v>
      </c>
      <c r="I123" s="5" t="str">
        <f>E115</f>
        <v>No</v>
      </c>
      <c r="J123" s="5" t="str">
        <f>D115</f>
        <v>Compras por debajo del Umbral</v>
      </c>
    </row>
    <row r="124" spans="1:10" ht="14.1" customHeight="1" thickBot="1" x14ac:dyDescent="0.3"/>
    <row r="125" spans="1:10" ht="33.75" customHeight="1" thickBot="1" x14ac:dyDescent="0.25">
      <c r="A125" s="59" t="s">
        <v>16382</v>
      </c>
      <c r="B125" s="59" t="s">
        <v>161</v>
      </c>
      <c r="C125" s="59" t="s">
        <v>11724</v>
      </c>
      <c r="D125" s="59" t="s">
        <v>14378</v>
      </c>
      <c r="E125" s="59" t="s">
        <v>10962</v>
      </c>
      <c r="F125" s="59" t="s">
        <v>11095</v>
      </c>
      <c r="G125" s="5"/>
      <c r="H125" s="5"/>
      <c r="I125" s="5"/>
      <c r="J125" s="5"/>
    </row>
    <row r="126" spans="1:10" ht="13.5" customHeight="1" thickBot="1" x14ac:dyDescent="0.25">
      <c r="A126" s="77" t="s">
        <v>18837</v>
      </c>
      <c r="B126" s="77" t="s">
        <v>18837</v>
      </c>
      <c r="C126" s="61" t="s">
        <v>6798</v>
      </c>
      <c r="D126" s="61" t="s">
        <v>10171</v>
      </c>
      <c r="E126" s="61" t="s">
        <v>17853</v>
      </c>
      <c r="F126" s="61"/>
      <c r="G126" s="5"/>
      <c r="H126" s="5"/>
      <c r="I126" s="5"/>
      <c r="J126" s="5"/>
    </row>
    <row r="127" spans="1:10" ht="14.1" customHeight="1" thickBot="1" x14ac:dyDescent="0.25">
      <c r="A127" s="82" t="s">
        <v>14828</v>
      </c>
      <c r="B127" s="62" t="s">
        <v>8528</v>
      </c>
      <c r="C127" s="71">
        <v>44013</v>
      </c>
      <c r="D127" s="82" t="s">
        <v>9385</v>
      </c>
      <c r="E127" s="62" t="s">
        <v>13093</v>
      </c>
      <c r="F127" s="61" t="s">
        <v>3080</v>
      </c>
      <c r="G127" s="5"/>
      <c r="H127" s="5"/>
      <c r="I127" s="5"/>
      <c r="J127" s="5"/>
    </row>
    <row r="128" spans="1:10" ht="14.1" customHeight="1" thickBot="1" x14ac:dyDescent="0.25">
      <c r="A128" s="83"/>
      <c r="B128" s="62" t="s">
        <v>1786</v>
      </c>
      <c r="C128" s="60">
        <f>IF(C127="","",IF(AND(MONTH(C127)&gt;=1,MONTH(C127)&lt;=3),1,IF(AND(MONTH(C127)&gt;=4,MONTH(C127)&lt;=6),2,IF(AND(MONTH(C127)&gt;=7,MONTH(C127)&lt;=9),3,4))))</f>
        <v>3</v>
      </c>
      <c r="D128" s="83"/>
      <c r="E128" s="62" t="s">
        <v>2417</v>
      </c>
      <c r="F128" s="61" t="s">
        <v>11112</v>
      </c>
      <c r="G128" s="5"/>
      <c r="H128" s="5"/>
      <c r="I128" s="5"/>
      <c r="J128" s="5"/>
    </row>
    <row r="129" spans="1:10" ht="14.1" customHeight="1" thickBot="1" x14ac:dyDescent="0.25">
      <c r="A129" s="83"/>
      <c r="B129" s="62" t="s">
        <v>12942</v>
      </c>
      <c r="C129" s="71">
        <v>44104</v>
      </c>
      <c r="D129" s="83"/>
      <c r="E129" s="62" t="s">
        <v>3073</v>
      </c>
      <c r="F129" s="61" t="s">
        <v>11112</v>
      </c>
      <c r="G129" s="5"/>
      <c r="H129" s="5"/>
      <c r="I129" s="5"/>
      <c r="J129" s="5"/>
    </row>
    <row r="130" spans="1:10" ht="14.1" customHeight="1" thickBot="1" x14ac:dyDescent="0.25">
      <c r="A130" s="83"/>
      <c r="B130" s="62" t="s">
        <v>1786</v>
      </c>
      <c r="C130" s="60">
        <f>IF(C129="","",IF(AND(MONTH(C129)&gt;=1,MONTH(C129)&lt;=3),1,IF(AND(MONTH(C129)&gt;=4,MONTH(C129)&lt;=6),2,IF(AND(MONTH(C129)&gt;=7,MONTH(C129)&lt;=9),3,4))))</f>
        <v>3</v>
      </c>
      <c r="D130" s="83"/>
      <c r="E130" s="62" t="s">
        <v>13192</v>
      </c>
      <c r="F130" s="61" t="s">
        <v>11112</v>
      </c>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15735</v>
      </c>
      <c r="B132" s="67" t="s">
        <v>16146</v>
      </c>
      <c r="C132" s="67" t="s">
        <v>15641</v>
      </c>
      <c r="D132" s="67" t="s">
        <v>15251</v>
      </c>
      <c r="E132" s="67" t="s">
        <v>6932</v>
      </c>
      <c r="F132" s="67" t="s">
        <v>15280</v>
      </c>
      <c r="G132" s="5"/>
      <c r="H132" s="5"/>
      <c r="I132" s="5"/>
      <c r="J132" s="5"/>
    </row>
    <row r="133" spans="1:10" ht="13.5" customHeight="1" x14ac:dyDescent="0.2">
      <c r="A133" s="78">
        <v>15111510</v>
      </c>
      <c r="B133" s="64" t="str">
        <f ca="1">IFERROR(INDEX(UNSPSCDes,MATCH(INDIRECT(ADDRESS(ROW(),COLUMN()-1,4)),UNSPSCCode,0)),"")</f>
        <v>Gas licuado de petróleo</v>
      </c>
      <c r="C133" s="63" t="s">
        <v>9559</v>
      </c>
      <c r="D133" s="63">
        <v>130</v>
      </c>
      <c r="E133" s="66">
        <v>100</v>
      </c>
      <c r="F133" s="65">
        <f ca="1">INDIRECT(ADDRESS(ROW(),COLUMN()-2,4))*INDIRECT(ADDRESS(ROW(),COLUMN()-1,4))</f>
        <v>13000</v>
      </c>
      <c r="G133" s="5"/>
      <c r="H133" s="5"/>
      <c r="I133" s="5"/>
      <c r="J133" s="5"/>
    </row>
    <row r="134" spans="1:10" ht="14.1" customHeight="1" x14ac:dyDescent="0.2">
      <c r="A134" s="5"/>
      <c r="B134" s="5"/>
      <c r="C134" s="5"/>
      <c r="D134" s="5"/>
      <c r="E134" s="68" t="s">
        <v>12550</v>
      </c>
      <c r="F134" s="69">
        <f ca="1">SUM(Table317[MONTO TOTAL ESTIMADO])</f>
        <v>13000</v>
      </c>
      <c r="G134" s="5"/>
      <c r="H134" s="5" t="str">
        <f>C126</f>
        <v>Servicios</v>
      </c>
      <c r="I134" s="5" t="str">
        <f>E126</f>
        <v>No</v>
      </c>
      <c r="J134" s="5" t="str">
        <f>D126</f>
        <v>Compras por debajo del Umbral</v>
      </c>
    </row>
    <row r="135" spans="1:10" ht="14.1" customHeight="1" thickBot="1" x14ac:dyDescent="0.3"/>
    <row r="136" spans="1:10" ht="33.75" customHeight="1" thickBot="1" x14ac:dyDescent="0.25">
      <c r="A136" s="59" t="s">
        <v>16382</v>
      </c>
      <c r="B136" s="59" t="s">
        <v>161</v>
      </c>
      <c r="C136" s="59" t="s">
        <v>11724</v>
      </c>
      <c r="D136" s="59" t="s">
        <v>14378</v>
      </c>
      <c r="E136" s="59" t="s">
        <v>10962</v>
      </c>
      <c r="F136" s="59" t="s">
        <v>11095</v>
      </c>
      <c r="G136" s="5"/>
      <c r="H136" s="5"/>
      <c r="I136" s="5"/>
      <c r="J136" s="5"/>
    </row>
    <row r="137" spans="1:10" ht="13.5" customHeight="1" thickBot="1" x14ac:dyDescent="0.25">
      <c r="A137" s="77" t="s">
        <v>18837</v>
      </c>
      <c r="B137" s="77" t="s">
        <v>18837</v>
      </c>
      <c r="C137" s="61" t="s">
        <v>6798</v>
      </c>
      <c r="D137" s="61" t="s">
        <v>10171</v>
      </c>
      <c r="E137" s="61" t="s">
        <v>17853</v>
      </c>
      <c r="F137" s="61"/>
      <c r="G137" s="5"/>
      <c r="H137" s="5"/>
      <c r="I137" s="5"/>
      <c r="J137" s="5"/>
    </row>
    <row r="138" spans="1:10" ht="14.1" customHeight="1" thickBot="1" x14ac:dyDescent="0.25">
      <c r="A138" s="82" t="s">
        <v>14828</v>
      </c>
      <c r="B138" s="62" t="s">
        <v>8528</v>
      </c>
      <c r="C138" s="71">
        <v>44105</v>
      </c>
      <c r="D138" s="82" t="s">
        <v>9385</v>
      </c>
      <c r="E138" s="62" t="s">
        <v>13093</v>
      </c>
      <c r="F138" s="61" t="s">
        <v>3080</v>
      </c>
      <c r="G138" s="5"/>
      <c r="H138" s="5"/>
      <c r="I138" s="5"/>
      <c r="J138" s="5"/>
    </row>
    <row r="139" spans="1:10" ht="14.1" customHeight="1" thickBot="1" x14ac:dyDescent="0.25">
      <c r="A139" s="83"/>
      <c r="B139" s="62" t="s">
        <v>1786</v>
      </c>
      <c r="C139" s="60">
        <f>IF(C138="","",IF(AND(MONTH(C138)&gt;=1,MONTH(C138)&lt;=3),1,IF(AND(MONTH(C138)&gt;=4,MONTH(C138)&lt;=6),2,IF(AND(MONTH(C138)&gt;=7,MONTH(C138)&lt;=9),3,4))))</f>
        <v>4</v>
      </c>
      <c r="D139" s="83"/>
      <c r="E139" s="62" t="s">
        <v>2417</v>
      </c>
      <c r="F139" s="61" t="s">
        <v>11112</v>
      </c>
      <c r="G139" s="5"/>
      <c r="H139" s="5"/>
      <c r="I139" s="5"/>
      <c r="J139" s="5"/>
    </row>
    <row r="140" spans="1:10" ht="14.1" customHeight="1" thickBot="1" x14ac:dyDescent="0.25">
      <c r="A140" s="83"/>
      <c r="B140" s="62" t="s">
        <v>12942</v>
      </c>
      <c r="C140" s="71">
        <v>44196</v>
      </c>
      <c r="D140" s="83"/>
      <c r="E140" s="62" t="s">
        <v>3073</v>
      </c>
      <c r="F140" s="61" t="s">
        <v>11112</v>
      </c>
      <c r="G140" s="5"/>
      <c r="H140" s="5"/>
      <c r="I140" s="5"/>
      <c r="J140" s="5"/>
    </row>
    <row r="141" spans="1:10" ht="14.1" customHeight="1" thickBot="1" x14ac:dyDescent="0.25">
      <c r="A141" s="83"/>
      <c r="B141" s="62" t="s">
        <v>1786</v>
      </c>
      <c r="C141" s="60">
        <f>IF(C140="","",IF(AND(MONTH(C140)&gt;=1,MONTH(C140)&lt;=3),1,IF(AND(MONTH(C140)&gt;=4,MONTH(C140)&lt;=6),2,IF(AND(MONTH(C140)&gt;=7,MONTH(C140)&lt;=9),3,4))))</f>
        <v>4</v>
      </c>
      <c r="D141" s="83"/>
      <c r="E141" s="62" t="s">
        <v>13192</v>
      </c>
      <c r="F141" s="61" t="s">
        <v>11112</v>
      </c>
      <c r="G141" s="5"/>
      <c r="H141" s="5"/>
      <c r="I141" s="5"/>
      <c r="J141" s="5"/>
    </row>
    <row r="142" spans="1:10" ht="14.1" customHeight="1" thickBot="1" x14ac:dyDescent="0.25">
      <c r="A142" s="5"/>
      <c r="B142" s="5"/>
      <c r="C142" s="5"/>
      <c r="D142" s="5"/>
      <c r="E142" s="5"/>
      <c r="F142" s="5"/>
      <c r="G142" s="5"/>
      <c r="H142" s="5"/>
      <c r="I142" s="5"/>
      <c r="J142" s="5"/>
    </row>
    <row r="143" spans="1:10" ht="14.1" customHeight="1" thickBot="1" x14ac:dyDescent="0.25">
      <c r="A143" s="67" t="s">
        <v>15735</v>
      </c>
      <c r="B143" s="67" t="s">
        <v>16146</v>
      </c>
      <c r="C143" s="67" t="s">
        <v>15641</v>
      </c>
      <c r="D143" s="67" t="s">
        <v>15251</v>
      </c>
      <c r="E143" s="67" t="s">
        <v>6932</v>
      </c>
      <c r="F143" s="67" t="s">
        <v>15280</v>
      </c>
      <c r="G143" s="5"/>
      <c r="H143" s="5"/>
      <c r="I143" s="5"/>
      <c r="J143" s="5"/>
    </row>
    <row r="144" spans="1:10" ht="13.5" customHeight="1" x14ac:dyDescent="0.2">
      <c r="A144" s="78">
        <v>15111510</v>
      </c>
      <c r="B144" s="64" t="str">
        <f ca="1">IFERROR(INDEX(UNSPSCDes,MATCH(INDIRECT(ADDRESS(ROW(),COLUMN()-1,4)),UNSPSCCode,0)),"")</f>
        <v>Gas licuado de petróleo</v>
      </c>
      <c r="C144" s="63" t="s">
        <v>9559</v>
      </c>
      <c r="D144" s="63">
        <v>130</v>
      </c>
      <c r="E144" s="66">
        <v>100</v>
      </c>
      <c r="F144" s="65">
        <f ca="1">INDIRECT(ADDRESS(ROW(),COLUMN()-2,4))*INDIRECT(ADDRESS(ROW(),COLUMN()-1,4))</f>
        <v>13000</v>
      </c>
      <c r="G144" s="5"/>
      <c r="H144" s="5"/>
      <c r="I144" s="5"/>
      <c r="J144" s="5"/>
    </row>
    <row r="145" spans="1:10" ht="14.1" customHeight="1" x14ac:dyDescent="0.2">
      <c r="A145" s="5"/>
      <c r="B145" s="5"/>
      <c r="C145" s="5"/>
      <c r="D145" s="5"/>
      <c r="E145" s="68" t="s">
        <v>12550</v>
      </c>
      <c r="F145" s="69">
        <f ca="1">SUM(Table318[MONTO TOTAL ESTIMADO])</f>
        <v>13000</v>
      </c>
      <c r="G145" s="5"/>
      <c r="H145" s="5" t="str">
        <f>C137</f>
        <v>Servicios</v>
      </c>
      <c r="I145" s="5" t="str">
        <f>E137</f>
        <v>No</v>
      </c>
      <c r="J145" s="5" t="str">
        <f>D137</f>
        <v>Compras por debajo del Umbral</v>
      </c>
    </row>
    <row r="146" spans="1:10" ht="14.1" customHeight="1" thickBot="1" x14ac:dyDescent="0.3"/>
    <row r="147" spans="1:10" ht="33.75" customHeight="1" thickBot="1" x14ac:dyDescent="0.25">
      <c r="A147" s="59" t="s">
        <v>16382</v>
      </c>
      <c r="B147" s="59" t="s">
        <v>161</v>
      </c>
      <c r="C147" s="59" t="s">
        <v>11724</v>
      </c>
      <c r="D147" s="59" t="s">
        <v>14378</v>
      </c>
      <c r="E147" s="59" t="s">
        <v>10962</v>
      </c>
      <c r="F147" s="59" t="s">
        <v>11095</v>
      </c>
      <c r="G147" s="5"/>
      <c r="H147" s="5"/>
      <c r="I147" s="5"/>
      <c r="J147" s="5"/>
    </row>
    <row r="148" spans="1:10" ht="13.5" customHeight="1" thickBot="1" x14ac:dyDescent="0.25">
      <c r="A148" s="77" t="s">
        <v>18838</v>
      </c>
      <c r="B148" s="77" t="s">
        <v>18838</v>
      </c>
      <c r="C148" s="61" t="s">
        <v>17797</v>
      </c>
      <c r="D148" s="61" t="s">
        <v>10171</v>
      </c>
      <c r="E148" s="61" t="s">
        <v>8854</v>
      </c>
      <c r="F148" s="61"/>
      <c r="G148" s="5"/>
      <c r="H148" s="5"/>
      <c r="I148" s="5"/>
      <c r="J148" s="5"/>
    </row>
    <row r="149" spans="1:10" ht="14.1" customHeight="1" thickBot="1" x14ac:dyDescent="0.25">
      <c r="A149" s="82" t="s">
        <v>14828</v>
      </c>
      <c r="B149" s="62" t="s">
        <v>8528</v>
      </c>
      <c r="C149" s="71">
        <v>43831</v>
      </c>
      <c r="D149" s="82" t="s">
        <v>9385</v>
      </c>
      <c r="E149" s="62" t="s">
        <v>13093</v>
      </c>
      <c r="F149" s="61" t="s">
        <v>3080</v>
      </c>
      <c r="G149" s="5"/>
      <c r="H149" s="5"/>
      <c r="I149" s="5"/>
      <c r="J149" s="5"/>
    </row>
    <row r="150" spans="1:10" ht="14.1" customHeight="1" thickBot="1" x14ac:dyDescent="0.25">
      <c r="A150" s="83"/>
      <c r="B150" s="62" t="s">
        <v>1786</v>
      </c>
      <c r="C150" s="60">
        <f>IF(C149="","",IF(AND(MONTH(C149)&gt;=1,MONTH(C149)&lt;=3),1,IF(AND(MONTH(C149)&gt;=4,MONTH(C149)&lt;=6),2,IF(AND(MONTH(C149)&gt;=7,MONTH(C149)&lt;=9),3,4))))</f>
        <v>1</v>
      </c>
      <c r="D150" s="83"/>
      <c r="E150" s="62" t="s">
        <v>2417</v>
      </c>
      <c r="F150" s="61" t="s">
        <v>11112</v>
      </c>
      <c r="G150" s="5"/>
      <c r="H150" s="5"/>
      <c r="I150" s="5"/>
      <c r="J150" s="5"/>
    </row>
    <row r="151" spans="1:10" ht="14.1" customHeight="1" thickBot="1" x14ac:dyDescent="0.25">
      <c r="A151" s="83"/>
      <c r="B151" s="62" t="s">
        <v>12942</v>
      </c>
      <c r="C151" s="71">
        <v>43921</v>
      </c>
      <c r="D151" s="83"/>
      <c r="E151" s="62" t="s">
        <v>3073</v>
      </c>
      <c r="F151" s="61" t="s">
        <v>11112</v>
      </c>
      <c r="G151" s="5"/>
      <c r="H151" s="5"/>
      <c r="I151" s="5"/>
      <c r="J151" s="5"/>
    </row>
    <row r="152" spans="1:10" ht="14.1" customHeight="1" thickBot="1" x14ac:dyDescent="0.25">
      <c r="A152" s="83"/>
      <c r="B152" s="62" t="s">
        <v>1786</v>
      </c>
      <c r="C152" s="60">
        <f>IF(C151="","",IF(AND(MONTH(C151)&gt;=1,MONTH(C151)&lt;=3),1,IF(AND(MONTH(C151)&gt;=4,MONTH(C151)&lt;=6),2,IF(AND(MONTH(C151)&gt;=7,MONTH(C151)&lt;=9),3,4))))</f>
        <v>1</v>
      </c>
      <c r="D152" s="83"/>
      <c r="E152" s="62" t="s">
        <v>13192</v>
      </c>
      <c r="F152" s="61" t="s">
        <v>11112</v>
      </c>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15735</v>
      </c>
      <c r="B154" s="67" t="s">
        <v>16146</v>
      </c>
      <c r="C154" s="67" t="s">
        <v>15641</v>
      </c>
      <c r="D154" s="67" t="s">
        <v>15251</v>
      </c>
      <c r="E154" s="67" t="s">
        <v>6932</v>
      </c>
      <c r="F154" s="67" t="s">
        <v>15280</v>
      </c>
      <c r="G154" s="5"/>
      <c r="H154" s="5"/>
      <c r="I154" s="5"/>
      <c r="J154" s="5"/>
    </row>
    <row r="155" spans="1:10" ht="13.5" customHeight="1" x14ac:dyDescent="0.2">
      <c r="A155" s="78">
        <v>15121508</v>
      </c>
      <c r="B155" s="64" t="str">
        <f t="shared" ref="B155:B161" ca="1" si="0">IFERROR(INDEX(UNSPSCDes,MATCH(INDIRECT(ADDRESS(ROW(),COLUMN()-1,4)),UNSPSCCode,0)),"")</f>
        <v>Aceite de transmisión</v>
      </c>
      <c r="C155" s="63" t="s">
        <v>9559</v>
      </c>
      <c r="D155" s="63">
        <v>18</v>
      </c>
      <c r="E155" s="66">
        <v>300</v>
      </c>
      <c r="F155" s="65">
        <f t="shared" ref="F155:F161" ca="1" si="1">INDIRECT(ADDRESS(ROW(),COLUMN()-2,4))*INDIRECT(ADDRESS(ROW(),COLUMN()-1,4))</f>
        <v>5400</v>
      </c>
      <c r="G155" s="5"/>
      <c r="H155" s="5"/>
      <c r="I155" s="5"/>
      <c r="J155" s="5"/>
    </row>
    <row r="156" spans="1:10" ht="13.5" customHeight="1" x14ac:dyDescent="0.2">
      <c r="A156" s="78">
        <v>15121501</v>
      </c>
      <c r="B156" s="64" t="str">
        <f t="shared" ca="1" si="0"/>
        <v>Aceite motor</v>
      </c>
      <c r="C156" s="63" t="s">
        <v>9559</v>
      </c>
      <c r="D156" s="63">
        <v>40</v>
      </c>
      <c r="E156" s="66">
        <v>350</v>
      </c>
      <c r="F156" s="65">
        <f t="shared" ca="1" si="1"/>
        <v>14000</v>
      </c>
      <c r="G156" s="5"/>
      <c r="H156" s="5"/>
      <c r="I156" s="5"/>
      <c r="J156" s="5"/>
    </row>
    <row r="157" spans="1:10" ht="13.5" customHeight="1" x14ac:dyDescent="0.2">
      <c r="A157" s="78">
        <v>15121504</v>
      </c>
      <c r="B157" s="64" t="str">
        <f t="shared" ca="1" si="0"/>
        <v>Aceite hidráulico</v>
      </c>
      <c r="C157" s="63" t="s">
        <v>9559</v>
      </c>
      <c r="D157" s="63">
        <v>16</v>
      </c>
      <c r="E157" s="66">
        <v>350</v>
      </c>
      <c r="F157" s="65">
        <f t="shared" ca="1" si="1"/>
        <v>5600</v>
      </c>
      <c r="G157" s="5"/>
      <c r="H157" s="5"/>
      <c r="I157" s="5"/>
      <c r="J157" s="5"/>
    </row>
    <row r="158" spans="1:10" ht="13.5" customHeight="1" x14ac:dyDescent="0.2">
      <c r="A158" s="78">
        <v>15121509</v>
      </c>
      <c r="B158" s="64" t="str">
        <f t="shared" ca="1" si="0"/>
        <v>Aceite de frenos</v>
      </c>
      <c r="C158" s="63" t="s">
        <v>9559</v>
      </c>
      <c r="D158" s="63">
        <v>26</v>
      </c>
      <c r="E158" s="66">
        <v>220</v>
      </c>
      <c r="F158" s="65">
        <f t="shared" ca="1" si="1"/>
        <v>5720</v>
      </c>
      <c r="G158" s="5"/>
      <c r="H158" s="5"/>
      <c r="I158" s="5"/>
      <c r="J158" s="5"/>
    </row>
    <row r="159" spans="1:10" ht="13.5" customHeight="1" x14ac:dyDescent="0.2">
      <c r="A159" s="78">
        <v>15121802</v>
      </c>
      <c r="B159" s="64" t="str">
        <f t="shared" ca="1" si="0"/>
        <v>Lubricante anti – corrosión</v>
      </c>
      <c r="C159" s="63" t="s">
        <v>1449</v>
      </c>
      <c r="D159" s="63">
        <v>15</v>
      </c>
      <c r="E159" s="66">
        <v>300</v>
      </c>
      <c r="F159" s="65">
        <f t="shared" ca="1" si="1"/>
        <v>4500</v>
      </c>
      <c r="G159" s="5"/>
      <c r="H159" s="5"/>
      <c r="I159" s="5"/>
      <c r="J159" s="5"/>
    </row>
    <row r="160" spans="1:10" ht="13.5" customHeight="1" x14ac:dyDescent="0.2">
      <c r="A160" s="78">
        <v>15121901</v>
      </c>
      <c r="B160" s="64" t="str">
        <f t="shared" ca="1" si="0"/>
        <v>Grasa de silicona</v>
      </c>
      <c r="C160" s="63" t="s">
        <v>9559</v>
      </c>
      <c r="D160" s="63">
        <v>16</v>
      </c>
      <c r="E160" s="66">
        <v>280</v>
      </c>
      <c r="F160" s="65">
        <f t="shared" ca="1" si="1"/>
        <v>4480</v>
      </c>
      <c r="G160" s="5"/>
      <c r="H160" s="5"/>
      <c r="I160" s="5"/>
      <c r="J160" s="5"/>
    </row>
    <row r="161" spans="1:10" ht="13.5" customHeight="1" x14ac:dyDescent="0.2">
      <c r="A161" s="78">
        <v>15121520</v>
      </c>
      <c r="B161" s="64" t="str">
        <f t="shared" ca="1" si="0"/>
        <v>Lubricantes de propósito general</v>
      </c>
      <c r="C161" s="63" t="s">
        <v>9559</v>
      </c>
      <c r="D161" s="63">
        <v>38</v>
      </c>
      <c r="E161" s="66">
        <v>600</v>
      </c>
      <c r="F161" s="65">
        <f t="shared" ca="1" si="1"/>
        <v>22800</v>
      </c>
      <c r="G161" s="5"/>
      <c r="H161" s="5"/>
      <c r="I161" s="5"/>
      <c r="J161" s="5"/>
    </row>
    <row r="162" spans="1:10" ht="14.1" customHeight="1" x14ac:dyDescent="0.2">
      <c r="A162" s="5"/>
      <c r="B162" s="5"/>
      <c r="C162" s="5"/>
      <c r="D162" s="5"/>
      <c r="E162" s="68" t="s">
        <v>12550</v>
      </c>
      <c r="F162" s="69">
        <f ca="1">SUM(Table319[MONTO TOTAL ESTIMADO])</f>
        <v>62500</v>
      </c>
      <c r="G162" s="5"/>
      <c r="H162" s="5" t="str">
        <f>C148</f>
        <v>Bienes</v>
      </c>
      <c r="I162" s="5" t="str">
        <f>E148</f>
        <v>Sí</v>
      </c>
      <c r="J162" s="5" t="str">
        <f>D148</f>
        <v>Compras por debajo del Umbral</v>
      </c>
    </row>
    <row r="163" spans="1:10" ht="14.1" customHeight="1" thickBot="1" x14ac:dyDescent="0.3"/>
    <row r="164" spans="1:10" ht="33.75" customHeight="1" thickBot="1" x14ac:dyDescent="0.25">
      <c r="A164" s="59" t="s">
        <v>16382</v>
      </c>
      <c r="B164" s="59" t="s">
        <v>161</v>
      </c>
      <c r="C164" s="59" t="s">
        <v>11724</v>
      </c>
      <c r="D164" s="59" t="s">
        <v>14378</v>
      </c>
      <c r="E164" s="59" t="s">
        <v>10962</v>
      </c>
      <c r="F164" s="59" t="s">
        <v>11095</v>
      </c>
      <c r="G164" s="5"/>
      <c r="H164" s="5"/>
      <c r="I164" s="5"/>
      <c r="J164" s="5"/>
    </row>
    <row r="165" spans="1:10" ht="13.5" customHeight="1" thickBot="1" x14ac:dyDescent="0.25">
      <c r="A165" s="77" t="s">
        <v>18838</v>
      </c>
      <c r="B165" s="77" t="s">
        <v>18838</v>
      </c>
      <c r="C165" s="61" t="s">
        <v>17797</v>
      </c>
      <c r="D165" s="61" t="s">
        <v>10171</v>
      </c>
      <c r="E165" s="61" t="s">
        <v>8854</v>
      </c>
      <c r="F165" s="61"/>
      <c r="G165" s="5"/>
      <c r="H165" s="5"/>
      <c r="I165" s="5"/>
      <c r="J165" s="5"/>
    </row>
    <row r="166" spans="1:10" ht="14.1" customHeight="1" thickBot="1" x14ac:dyDescent="0.25">
      <c r="A166" s="82" t="s">
        <v>14828</v>
      </c>
      <c r="B166" s="62" t="s">
        <v>8528</v>
      </c>
      <c r="C166" s="71">
        <v>43922</v>
      </c>
      <c r="D166" s="82" t="s">
        <v>9385</v>
      </c>
      <c r="E166" s="62" t="s">
        <v>13093</v>
      </c>
      <c r="F166" s="61" t="s">
        <v>3080</v>
      </c>
      <c r="G166" s="5"/>
      <c r="H166" s="5"/>
      <c r="I166" s="5"/>
      <c r="J166" s="5"/>
    </row>
    <row r="167" spans="1:10" ht="14.1" customHeight="1" thickBot="1" x14ac:dyDescent="0.25">
      <c r="A167" s="83"/>
      <c r="B167" s="62" t="s">
        <v>1786</v>
      </c>
      <c r="C167" s="60">
        <f>IF(C166="","",IF(AND(MONTH(C166)&gt;=1,MONTH(C166)&lt;=3),1,IF(AND(MONTH(C166)&gt;=4,MONTH(C166)&lt;=6),2,IF(AND(MONTH(C166)&gt;=7,MONTH(C166)&lt;=9),3,4))))</f>
        <v>2</v>
      </c>
      <c r="D167" s="83"/>
      <c r="E167" s="62" t="s">
        <v>2417</v>
      </c>
      <c r="F167" s="61" t="s">
        <v>11112</v>
      </c>
      <c r="G167" s="5"/>
      <c r="H167" s="5"/>
      <c r="I167" s="5"/>
      <c r="J167" s="5"/>
    </row>
    <row r="168" spans="1:10" ht="14.1" customHeight="1" thickBot="1" x14ac:dyDescent="0.25">
      <c r="A168" s="83"/>
      <c r="B168" s="62" t="s">
        <v>12942</v>
      </c>
      <c r="C168" s="71">
        <v>44012</v>
      </c>
      <c r="D168" s="83"/>
      <c r="E168" s="62" t="s">
        <v>3073</v>
      </c>
      <c r="F168" s="61" t="s">
        <v>11112</v>
      </c>
      <c r="G168" s="5"/>
      <c r="H168" s="5"/>
      <c r="I168" s="5"/>
      <c r="J168" s="5"/>
    </row>
    <row r="169" spans="1:10" ht="14.1" customHeight="1" thickBot="1" x14ac:dyDescent="0.25">
      <c r="A169" s="83"/>
      <c r="B169" s="62" t="s">
        <v>1786</v>
      </c>
      <c r="C169" s="60">
        <f>IF(C168="","",IF(AND(MONTH(C168)&gt;=1,MONTH(C168)&lt;=3),1,IF(AND(MONTH(C168)&gt;=4,MONTH(C168)&lt;=6),2,IF(AND(MONTH(C168)&gt;=7,MONTH(C168)&lt;=9),3,4))))</f>
        <v>2</v>
      </c>
      <c r="D169" s="83"/>
      <c r="E169" s="62" t="s">
        <v>13192</v>
      </c>
      <c r="F169" s="61" t="s">
        <v>11112</v>
      </c>
      <c r="G169" s="5"/>
      <c r="H169" s="5"/>
      <c r="I169" s="5"/>
      <c r="J169" s="5"/>
    </row>
    <row r="170" spans="1:10" ht="14.1" customHeight="1" thickBot="1" x14ac:dyDescent="0.25">
      <c r="A170" s="5"/>
      <c r="B170" s="5"/>
      <c r="C170" s="5"/>
      <c r="D170" s="5"/>
      <c r="E170" s="5"/>
      <c r="F170" s="5"/>
      <c r="G170" s="5"/>
      <c r="H170" s="5"/>
      <c r="I170" s="5"/>
      <c r="J170" s="5"/>
    </row>
    <row r="171" spans="1:10" ht="14.1" customHeight="1" thickBot="1" x14ac:dyDescent="0.25">
      <c r="A171" s="67" t="s">
        <v>15735</v>
      </c>
      <c r="B171" s="67" t="s">
        <v>16146</v>
      </c>
      <c r="C171" s="67" t="s">
        <v>15641</v>
      </c>
      <c r="D171" s="67" t="s">
        <v>15251</v>
      </c>
      <c r="E171" s="67" t="s">
        <v>6932</v>
      </c>
      <c r="F171" s="67" t="s">
        <v>15280</v>
      </c>
      <c r="G171" s="5"/>
      <c r="H171" s="5"/>
      <c r="I171" s="5"/>
      <c r="J171" s="5"/>
    </row>
    <row r="172" spans="1:10" ht="13.5" customHeight="1" x14ac:dyDescent="0.2">
      <c r="A172" s="78">
        <v>15121508</v>
      </c>
      <c r="B172" s="64" t="str">
        <f t="shared" ref="B172:B178" ca="1" si="2">IFERROR(INDEX(UNSPSCDes,MATCH(INDIRECT(ADDRESS(ROW(),COLUMN()-1,4)),UNSPSCCode,0)),"")</f>
        <v>Aceite de transmisión</v>
      </c>
      <c r="C172" s="63" t="s">
        <v>9559</v>
      </c>
      <c r="D172" s="63">
        <v>18</v>
      </c>
      <c r="E172" s="66">
        <v>300</v>
      </c>
      <c r="F172" s="65">
        <f t="shared" ref="F172:F178" ca="1" si="3">INDIRECT(ADDRESS(ROW(),COLUMN()-2,4))*INDIRECT(ADDRESS(ROW(),COLUMN()-1,4))</f>
        <v>5400</v>
      </c>
      <c r="G172" s="5"/>
      <c r="H172" s="5"/>
      <c r="I172" s="5"/>
      <c r="J172" s="5"/>
    </row>
    <row r="173" spans="1:10" ht="13.5" customHeight="1" x14ac:dyDescent="0.2">
      <c r="A173" s="78">
        <v>15121501</v>
      </c>
      <c r="B173" s="64" t="str">
        <f t="shared" ca="1" si="2"/>
        <v>Aceite motor</v>
      </c>
      <c r="C173" s="63" t="s">
        <v>9559</v>
      </c>
      <c r="D173" s="63">
        <v>40</v>
      </c>
      <c r="E173" s="66">
        <v>350</v>
      </c>
      <c r="F173" s="65">
        <f t="shared" ca="1" si="3"/>
        <v>14000</v>
      </c>
      <c r="G173" s="5"/>
      <c r="H173" s="5"/>
      <c r="I173" s="5"/>
      <c r="J173" s="5"/>
    </row>
    <row r="174" spans="1:10" ht="13.5" customHeight="1" x14ac:dyDescent="0.2">
      <c r="A174" s="78">
        <v>15121504</v>
      </c>
      <c r="B174" s="64" t="str">
        <f t="shared" ca="1" si="2"/>
        <v>Aceite hidráulico</v>
      </c>
      <c r="C174" s="63" t="s">
        <v>9559</v>
      </c>
      <c r="D174" s="63">
        <v>16</v>
      </c>
      <c r="E174" s="66">
        <v>350</v>
      </c>
      <c r="F174" s="65">
        <f t="shared" ca="1" si="3"/>
        <v>5600</v>
      </c>
      <c r="G174" s="5"/>
      <c r="H174" s="5"/>
      <c r="I174" s="5"/>
      <c r="J174" s="5"/>
    </row>
    <row r="175" spans="1:10" ht="13.5" customHeight="1" x14ac:dyDescent="0.2">
      <c r="A175" s="78">
        <v>15121509</v>
      </c>
      <c r="B175" s="64" t="str">
        <f t="shared" ca="1" si="2"/>
        <v>Aceite de frenos</v>
      </c>
      <c r="C175" s="63" t="s">
        <v>9559</v>
      </c>
      <c r="D175" s="63">
        <v>26</v>
      </c>
      <c r="E175" s="66">
        <v>220</v>
      </c>
      <c r="F175" s="65">
        <f t="shared" ca="1" si="3"/>
        <v>5720</v>
      </c>
      <c r="G175" s="5"/>
      <c r="H175" s="5"/>
      <c r="I175" s="5"/>
      <c r="J175" s="5"/>
    </row>
    <row r="176" spans="1:10" ht="13.5" customHeight="1" x14ac:dyDescent="0.2">
      <c r="A176" s="78">
        <v>15121802</v>
      </c>
      <c r="B176" s="64" t="str">
        <f t="shared" ca="1" si="2"/>
        <v>Lubricante anti – corrosión</v>
      </c>
      <c r="C176" s="63" t="s">
        <v>1449</v>
      </c>
      <c r="D176" s="63">
        <v>15</v>
      </c>
      <c r="E176" s="66">
        <v>300</v>
      </c>
      <c r="F176" s="65">
        <f t="shared" ca="1" si="3"/>
        <v>4500</v>
      </c>
      <c r="G176" s="5"/>
      <c r="H176" s="5"/>
      <c r="I176" s="5"/>
      <c r="J176" s="5"/>
    </row>
    <row r="177" spans="1:10" ht="13.5" customHeight="1" x14ac:dyDescent="0.2">
      <c r="A177" s="78">
        <v>15121901</v>
      </c>
      <c r="B177" s="64" t="str">
        <f t="shared" ca="1" si="2"/>
        <v>Grasa de silicona</v>
      </c>
      <c r="C177" s="63" t="s">
        <v>9559</v>
      </c>
      <c r="D177" s="63">
        <v>16</v>
      </c>
      <c r="E177" s="66">
        <v>280</v>
      </c>
      <c r="F177" s="65">
        <f t="shared" ca="1" si="3"/>
        <v>4480</v>
      </c>
      <c r="G177" s="5"/>
      <c r="H177" s="5"/>
      <c r="I177" s="5"/>
      <c r="J177" s="5"/>
    </row>
    <row r="178" spans="1:10" ht="13.5" customHeight="1" x14ac:dyDescent="0.2">
      <c r="A178" s="78">
        <v>15121520</v>
      </c>
      <c r="B178" s="64" t="str">
        <f t="shared" ca="1" si="2"/>
        <v>Lubricantes de propósito general</v>
      </c>
      <c r="C178" s="63" t="s">
        <v>9559</v>
      </c>
      <c r="D178" s="63">
        <v>38</v>
      </c>
      <c r="E178" s="66">
        <v>600</v>
      </c>
      <c r="F178" s="65">
        <f t="shared" ca="1" si="3"/>
        <v>22800</v>
      </c>
      <c r="G178" s="5"/>
      <c r="H178" s="5"/>
      <c r="I178" s="5"/>
      <c r="J178" s="5"/>
    </row>
    <row r="179" spans="1:10" ht="14.1" customHeight="1" x14ac:dyDescent="0.2">
      <c r="A179" s="5"/>
      <c r="B179" s="5"/>
      <c r="C179" s="5"/>
      <c r="D179" s="5"/>
      <c r="E179" s="68" t="s">
        <v>12550</v>
      </c>
      <c r="F179" s="69">
        <f ca="1">SUM(Table320[MONTO TOTAL ESTIMADO])</f>
        <v>62500</v>
      </c>
      <c r="G179" s="5"/>
      <c r="H179" s="5" t="str">
        <f>C165</f>
        <v>Bienes</v>
      </c>
      <c r="I179" s="5" t="str">
        <f>E165</f>
        <v>Sí</v>
      </c>
      <c r="J179" s="5" t="str">
        <f>D165</f>
        <v>Compras por debajo del Umbral</v>
      </c>
    </row>
    <row r="180" spans="1:10" ht="14.1" customHeight="1" thickBot="1" x14ac:dyDescent="0.3"/>
    <row r="181" spans="1:10" ht="33.75" customHeight="1" thickBot="1" x14ac:dyDescent="0.25">
      <c r="A181" s="59" t="s">
        <v>16382</v>
      </c>
      <c r="B181" s="59" t="s">
        <v>161</v>
      </c>
      <c r="C181" s="59" t="s">
        <v>11724</v>
      </c>
      <c r="D181" s="59" t="s">
        <v>14378</v>
      </c>
      <c r="E181" s="59" t="s">
        <v>10962</v>
      </c>
      <c r="F181" s="59" t="s">
        <v>11095</v>
      </c>
      <c r="G181" s="5"/>
      <c r="H181" s="5"/>
      <c r="I181" s="5"/>
      <c r="J181" s="5"/>
    </row>
    <row r="182" spans="1:10" ht="13.5" customHeight="1" thickBot="1" x14ac:dyDescent="0.25">
      <c r="A182" s="77" t="s">
        <v>18838</v>
      </c>
      <c r="B182" s="77" t="s">
        <v>18838</v>
      </c>
      <c r="C182" s="61" t="s">
        <v>17797</v>
      </c>
      <c r="D182" s="61" t="s">
        <v>10171</v>
      </c>
      <c r="E182" s="61" t="s">
        <v>8854</v>
      </c>
      <c r="F182" s="61"/>
      <c r="G182" s="5"/>
      <c r="H182" s="5"/>
      <c r="I182" s="5"/>
      <c r="J182" s="5"/>
    </row>
    <row r="183" spans="1:10" ht="14.1" customHeight="1" thickBot="1" x14ac:dyDescent="0.25">
      <c r="A183" s="82" t="s">
        <v>14828</v>
      </c>
      <c r="B183" s="62" t="s">
        <v>8528</v>
      </c>
      <c r="C183" s="71">
        <v>44013</v>
      </c>
      <c r="D183" s="82" t="s">
        <v>9385</v>
      </c>
      <c r="E183" s="62" t="s">
        <v>13093</v>
      </c>
      <c r="F183" s="61" t="s">
        <v>3080</v>
      </c>
      <c r="G183" s="5"/>
      <c r="H183" s="5"/>
      <c r="I183" s="5"/>
      <c r="J183" s="5"/>
    </row>
    <row r="184" spans="1:10" ht="14.1" customHeight="1" thickBot="1" x14ac:dyDescent="0.25">
      <c r="A184" s="83"/>
      <c r="B184" s="62" t="s">
        <v>1786</v>
      </c>
      <c r="C184" s="60">
        <f>IF(C183="","",IF(AND(MONTH(C183)&gt;=1,MONTH(C183)&lt;=3),1,IF(AND(MONTH(C183)&gt;=4,MONTH(C183)&lt;=6),2,IF(AND(MONTH(C183)&gt;=7,MONTH(C183)&lt;=9),3,4))))</f>
        <v>3</v>
      </c>
      <c r="D184" s="83"/>
      <c r="E184" s="62" t="s">
        <v>2417</v>
      </c>
      <c r="F184" s="61" t="s">
        <v>11112</v>
      </c>
      <c r="G184" s="5"/>
      <c r="H184" s="5"/>
      <c r="I184" s="5"/>
      <c r="J184" s="5"/>
    </row>
    <row r="185" spans="1:10" ht="14.1" customHeight="1" thickBot="1" x14ac:dyDescent="0.25">
      <c r="A185" s="83"/>
      <c r="B185" s="62" t="s">
        <v>12942</v>
      </c>
      <c r="C185" s="71">
        <v>44104</v>
      </c>
      <c r="D185" s="83"/>
      <c r="E185" s="62" t="s">
        <v>3073</v>
      </c>
      <c r="F185" s="61" t="s">
        <v>11112</v>
      </c>
      <c r="G185" s="5"/>
      <c r="H185" s="5"/>
      <c r="I185" s="5"/>
      <c r="J185" s="5"/>
    </row>
    <row r="186" spans="1:10" ht="14.1" customHeight="1" thickBot="1" x14ac:dyDescent="0.25">
      <c r="A186" s="83"/>
      <c r="B186" s="62" t="s">
        <v>1786</v>
      </c>
      <c r="C186" s="60">
        <f>IF(C185="","",IF(AND(MONTH(C185)&gt;=1,MONTH(C185)&lt;=3),1,IF(AND(MONTH(C185)&gt;=4,MONTH(C185)&lt;=6),2,IF(AND(MONTH(C185)&gt;=7,MONTH(C185)&lt;=9),3,4))))</f>
        <v>3</v>
      </c>
      <c r="D186" s="83"/>
      <c r="E186" s="62" t="s">
        <v>13192</v>
      </c>
      <c r="F186" s="61" t="s">
        <v>11112</v>
      </c>
      <c r="G186" s="5"/>
      <c r="H186" s="5"/>
      <c r="I186" s="5"/>
      <c r="J186" s="5"/>
    </row>
    <row r="187" spans="1:10" ht="14.1" customHeight="1" thickBot="1" x14ac:dyDescent="0.25">
      <c r="A187" s="5"/>
      <c r="B187" s="5"/>
      <c r="C187" s="5"/>
      <c r="D187" s="5"/>
      <c r="E187" s="5"/>
      <c r="F187" s="5"/>
      <c r="G187" s="5"/>
      <c r="H187" s="5"/>
      <c r="I187" s="5"/>
      <c r="J187" s="5"/>
    </row>
    <row r="188" spans="1:10" ht="14.1" customHeight="1" thickBot="1" x14ac:dyDescent="0.25">
      <c r="A188" s="67" t="s">
        <v>15735</v>
      </c>
      <c r="B188" s="67" t="s">
        <v>16146</v>
      </c>
      <c r="C188" s="67" t="s">
        <v>15641</v>
      </c>
      <c r="D188" s="67" t="s">
        <v>15251</v>
      </c>
      <c r="E188" s="67" t="s">
        <v>6932</v>
      </c>
      <c r="F188" s="67" t="s">
        <v>15280</v>
      </c>
      <c r="G188" s="5"/>
      <c r="H188" s="5"/>
      <c r="I188" s="5"/>
      <c r="J188" s="5"/>
    </row>
    <row r="189" spans="1:10" ht="13.5" customHeight="1" x14ac:dyDescent="0.2">
      <c r="A189" s="57">
        <v>15121508</v>
      </c>
      <c r="B189" s="64" t="str">
        <f t="shared" ref="B189:B195" ca="1" si="4">IFERROR(INDEX(UNSPSCDes,MATCH(INDIRECT(ADDRESS(ROW(),COLUMN()-1,4)),UNSPSCCode,0)),"")</f>
        <v>Aceite de transmisión</v>
      </c>
      <c r="C189" s="63" t="s">
        <v>9559</v>
      </c>
      <c r="D189" s="63">
        <v>18</v>
      </c>
      <c r="E189" s="66">
        <v>300</v>
      </c>
      <c r="F189" s="65">
        <f t="shared" ref="F189:F195" ca="1" si="5">INDIRECT(ADDRESS(ROW(),COLUMN()-2,4))*INDIRECT(ADDRESS(ROW(),COLUMN()-1,4))</f>
        <v>5400</v>
      </c>
      <c r="G189" s="5"/>
      <c r="H189" s="5"/>
      <c r="I189" s="5"/>
      <c r="J189" s="5"/>
    </row>
    <row r="190" spans="1:10" ht="13.5" customHeight="1" x14ac:dyDescent="0.2">
      <c r="A190" s="78">
        <v>15121501</v>
      </c>
      <c r="B190" s="64" t="str">
        <f t="shared" ca="1" si="4"/>
        <v>Aceite motor</v>
      </c>
      <c r="C190" s="63" t="s">
        <v>9559</v>
      </c>
      <c r="D190" s="63">
        <v>40</v>
      </c>
      <c r="E190" s="66">
        <v>350</v>
      </c>
      <c r="F190" s="65">
        <f t="shared" ca="1" si="5"/>
        <v>14000</v>
      </c>
      <c r="G190" s="5"/>
      <c r="H190" s="5"/>
      <c r="I190" s="5"/>
      <c r="J190" s="5"/>
    </row>
    <row r="191" spans="1:10" ht="13.5" customHeight="1" x14ac:dyDescent="0.2">
      <c r="A191" s="78">
        <v>15121504</v>
      </c>
      <c r="B191" s="64" t="str">
        <f t="shared" ca="1" si="4"/>
        <v>Aceite hidráulico</v>
      </c>
      <c r="C191" s="63" t="s">
        <v>9559</v>
      </c>
      <c r="D191" s="63">
        <v>16</v>
      </c>
      <c r="E191" s="66">
        <v>350</v>
      </c>
      <c r="F191" s="65">
        <f t="shared" ca="1" si="5"/>
        <v>5600</v>
      </c>
      <c r="G191" s="5"/>
      <c r="H191" s="5"/>
      <c r="I191" s="5"/>
      <c r="J191" s="5"/>
    </row>
    <row r="192" spans="1:10" ht="13.5" customHeight="1" x14ac:dyDescent="0.2">
      <c r="A192" s="78">
        <v>15121509</v>
      </c>
      <c r="B192" s="64" t="str">
        <f t="shared" ca="1" si="4"/>
        <v>Aceite de frenos</v>
      </c>
      <c r="C192" s="63" t="s">
        <v>9559</v>
      </c>
      <c r="D192" s="63">
        <v>26</v>
      </c>
      <c r="E192" s="66">
        <v>220</v>
      </c>
      <c r="F192" s="65">
        <f t="shared" ca="1" si="5"/>
        <v>5720</v>
      </c>
      <c r="G192" s="5"/>
      <c r="H192" s="5"/>
      <c r="I192" s="5"/>
      <c r="J192" s="5"/>
    </row>
    <row r="193" spans="1:10" ht="13.5" customHeight="1" x14ac:dyDescent="0.2">
      <c r="A193" s="78">
        <v>15121802</v>
      </c>
      <c r="B193" s="64" t="str">
        <f t="shared" ca="1" si="4"/>
        <v>Lubricante anti – corrosión</v>
      </c>
      <c r="C193" s="63" t="s">
        <v>1449</v>
      </c>
      <c r="D193" s="63">
        <v>15</v>
      </c>
      <c r="E193" s="66">
        <v>300</v>
      </c>
      <c r="F193" s="65">
        <f t="shared" ca="1" si="5"/>
        <v>4500</v>
      </c>
      <c r="G193" s="5"/>
      <c r="H193" s="5"/>
      <c r="I193" s="5"/>
      <c r="J193" s="5"/>
    </row>
    <row r="194" spans="1:10" ht="13.5" customHeight="1" x14ac:dyDescent="0.2">
      <c r="A194" s="78">
        <v>15121901</v>
      </c>
      <c r="B194" s="64" t="str">
        <f t="shared" ca="1" si="4"/>
        <v>Grasa de silicona</v>
      </c>
      <c r="C194" s="63" t="s">
        <v>9559</v>
      </c>
      <c r="D194" s="63">
        <v>16</v>
      </c>
      <c r="E194" s="66">
        <v>280</v>
      </c>
      <c r="F194" s="65">
        <f t="shared" ca="1" si="5"/>
        <v>4480</v>
      </c>
      <c r="G194" s="5"/>
      <c r="H194" s="5"/>
      <c r="I194" s="5"/>
      <c r="J194" s="5"/>
    </row>
    <row r="195" spans="1:10" ht="13.5" customHeight="1" x14ac:dyDescent="0.2">
      <c r="A195" s="78">
        <v>15121520</v>
      </c>
      <c r="B195" s="64" t="str">
        <f t="shared" ca="1" si="4"/>
        <v>Lubricantes de propósito general</v>
      </c>
      <c r="C195" s="63" t="s">
        <v>9559</v>
      </c>
      <c r="D195" s="63">
        <v>38</v>
      </c>
      <c r="E195" s="66">
        <v>600</v>
      </c>
      <c r="F195" s="65">
        <f t="shared" ca="1" si="5"/>
        <v>22800</v>
      </c>
      <c r="G195" s="5"/>
      <c r="H195" s="5"/>
      <c r="I195" s="5"/>
      <c r="J195" s="5"/>
    </row>
    <row r="196" spans="1:10" ht="14.1" customHeight="1" x14ac:dyDescent="0.2">
      <c r="A196" s="5"/>
      <c r="B196" s="5"/>
      <c r="C196" s="5"/>
      <c r="D196" s="5"/>
      <c r="E196" s="68" t="s">
        <v>12550</v>
      </c>
      <c r="F196" s="69">
        <f ca="1">SUM(Table321[MONTO TOTAL ESTIMADO])</f>
        <v>62500</v>
      </c>
      <c r="G196" s="5"/>
      <c r="H196" s="5" t="str">
        <f>C182</f>
        <v>Bienes</v>
      </c>
      <c r="I196" s="5" t="str">
        <f>E182</f>
        <v>Sí</v>
      </c>
      <c r="J196" s="5" t="str">
        <f>D182</f>
        <v>Compras por debajo del Umbral</v>
      </c>
    </row>
    <row r="197" spans="1:10" ht="14.1" customHeight="1" thickBot="1" x14ac:dyDescent="0.3"/>
    <row r="198" spans="1:10" ht="33.75" customHeight="1" thickBot="1" x14ac:dyDescent="0.25">
      <c r="A198" s="59" t="s">
        <v>16382</v>
      </c>
      <c r="B198" s="59" t="s">
        <v>161</v>
      </c>
      <c r="C198" s="59" t="s">
        <v>11724</v>
      </c>
      <c r="D198" s="59" t="s">
        <v>14378</v>
      </c>
      <c r="E198" s="59" t="s">
        <v>10962</v>
      </c>
      <c r="F198" s="59" t="s">
        <v>11095</v>
      </c>
      <c r="G198" s="5"/>
      <c r="H198" s="5"/>
      <c r="I198" s="5"/>
      <c r="J198" s="5"/>
    </row>
    <row r="199" spans="1:10" ht="13.5" customHeight="1" thickBot="1" x14ac:dyDescent="0.25">
      <c r="A199" s="77" t="s">
        <v>18838</v>
      </c>
      <c r="B199" s="77" t="s">
        <v>18838</v>
      </c>
      <c r="C199" s="61" t="s">
        <v>17797</v>
      </c>
      <c r="D199" s="61" t="s">
        <v>10171</v>
      </c>
      <c r="E199" s="61" t="s">
        <v>8854</v>
      </c>
      <c r="F199" s="61"/>
      <c r="G199" s="5"/>
      <c r="H199" s="5"/>
      <c r="I199" s="5"/>
      <c r="J199" s="5"/>
    </row>
    <row r="200" spans="1:10" ht="14.1" customHeight="1" thickBot="1" x14ac:dyDescent="0.25">
      <c r="A200" s="82" t="s">
        <v>14828</v>
      </c>
      <c r="B200" s="62" t="s">
        <v>8528</v>
      </c>
      <c r="C200" s="71">
        <v>44105</v>
      </c>
      <c r="D200" s="82" t="s">
        <v>9385</v>
      </c>
      <c r="E200" s="62" t="s">
        <v>13093</v>
      </c>
      <c r="F200" s="61" t="s">
        <v>3080</v>
      </c>
      <c r="G200" s="5"/>
      <c r="H200" s="5"/>
      <c r="I200" s="5"/>
      <c r="J200" s="5"/>
    </row>
    <row r="201" spans="1:10" ht="14.1" customHeight="1" thickBot="1" x14ac:dyDescent="0.25">
      <c r="A201" s="83"/>
      <c r="B201" s="62" t="s">
        <v>1786</v>
      </c>
      <c r="C201" s="60">
        <f>IF(C200="","",IF(AND(MONTH(C200)&gt;=1,MONTH(C200)&lt;=3),1,IF(AND(MONTH(C200)&gt;=4,MONTH(C200)&lt;=6),2,IF(AND(MONTH(C200)&gt;=7,MONTH(C200)&lt;=9),3,4))))</f>
        <v>4</v>
      </c>
      <c r="D201" s="83"/>
      <c r="E201" s="62" t="s">
        <v>2417</v>
      </c>
      <c r="F201" s="61" t="s">
        <v>11112</v>
      </c>
      <c r="G201" s="5"/>
      <c r="H201" s="5"/>
      <c r="I201" s="5"/>
      <c r="J201" s="5"/>
    </row>
    <row r="202" spans="1:10" ht="14.1" customHeight="1" thickBot="1" x14ac:dyDescent="0.25">
      <c r="A202" s="83"/>
      <c r="B202" s="62" t="s">
        <v>12942</v>
      </c>
      <c r="C202" s="71">
        <v>44196</v>
      </c>
      <c r="D202" s="83"/>
      <c r="E202" s="62" t="s">
        <v>3073</v>
      </c>
      <c r="F202" s="61" t="s">
        <v>11112</v>
      </c>
      <c r="G202" s="5"/>
      <c r="H202" s="5"/>
      <c r="I202" s="5"/>
      <c r="J202" s="5"/>
    </row>
    <row r="203" spans="1:10" ht="14.1" customHeight="1" thickBot="1" x14ac:dyDescent="0.25">
      <c r="A203" s="83"/>
      <c r="B203" s="62" t="s">
        <v>1786</v>
      </c>
      <c r="C203" s="60">
        <f>IF(C202="","",IF(AND(MONTH(C202)&gt;=1,MONTH(C202)&lt;=3),1,IF(AND(MONTH(C202)&gt;=4,MONTH(C202)&lt;=6),2,IF(AND(MONTH(C202)&gt;=7,MONTH(C202)&lt;=9),3,4))))</f>
        <v>4</v>
      </c>
      <c r="D203" s="83"/>
      <c r="E203" s="62" t="s">
        <v>13192</v>
      </c>
      <c r="F203" s="61" t="s">
        <v>11112</v>
      </c>
      <c r="G203" s="5"/>
      <c r="H203" s="5"/>
      <c r="I203" s="5"/>
      <c r="J203" s="5"/>
    </row>
    <row r="204" spans="1:10" ht="14.1" customHeight="1" thickBot="1" x14ac:dyDescent="0.25">
      <c r="A204" s="5"/>
      <c r="B204" s="5"/>
      <c r="C204" s="5"/>
      <c r="D204" s="5"/>
      <c r="E204" s="5"/>
      <c r="F204" s="5"/>
      <c r="G204" s="5"/>
      <c r="H204" s="5"/>
      <c r="I204" s="5"/>
      <c r="J204" s="5"/>
    </row>
    <row r="205" spans="1:10" ht="14.1" customHeight="1" thickBot="1" x14ac:dyDescent="0.25">
      <c r="A205" s="67" t="s">
        <v>15735</v>
      </c>
      <c r="B205" s="67" t="s">
        <v>16146</v>
      </c>
      <c r="C205" s="67" t="s">
        <v>15641</v>
      </c>
      <c r="D205" s="67" t="s">
        <v>15251</v>
      </c>
      <c r="E205" s="67" t="s">
        <v>6932</v>
      </c>
      <c r="F205" s="67" t="s">
        <v>15280</v>
      </c>
      <c r="G205" s="5"/>
      <c r="H205" s="5"/>
      <c r="I205" s="5"/>
      <c r="J205" s="5"/>
    </row>
    <row r="206" spans="1:10" ht="13.5" customHeight="1" x14ac:dyDescent="0.2">
      <c r="A206" s="78">
        <v>15121508</v>
      </c>
      <c r="B206" s="64" t="str">
        <f t="shared" ref="B206:B212" ca="1" si="6">IFERROR(INDEX(UNSPSCDes,MATCH(INDIRECT(ADDRESS(ROW(),COLUMN()-1,4)),UNSPSCCode,0)),"")</f>
        <v>Aceite de transmisión</v>
      </c>
      <c r="C206" s="63" t="s">
        <v>9559</v>
      </c>
      <c r="D206" s="63">
        <v>18</v>
      </c>
      <c r="E206" s="66">
        <v>300</v>
      </c>
      <c r="F206" s="65">
        <f t="shared" ref="F206:F212" ca="1" si="7">INDIRECT(ADDRESS(ROW(),COLUMN()-2,4))*INDIRECT(ADDRESS(ROW(),COLUMN()-1,4))</f>
        <v>5400</v>
      </c>
      <c r="G206" s="5"/>
      <c r="H206" s="5"/>
      <c r="I206" s="5"/>
      <c r="J206" s="5"/>
    </row>
    <row r="207" spans="1:10" ht="13.5" customHeight="1" x14ac:dyDescent="0.2">
      <c r="A207" s="78">
        <v>15121501</v>
      </c>
      <c r="B207" s="64" t="str">
        <f t="shared" ca="1" si="6"/>
        <v>Aceite motor</v>
      </c>
      <c r="C207" s="63" t="s">
        <v>9559</v>
      </c>
      <c r="D207" s="63">
        <v>40</v>
      </c>
      <c r="E207" s="66">
        <v>350</v>
      </c>
      <c r="F207" s="65">
        <f t="shared" ca="1" si="7"/>
        <v>14000</v>
      </c>
      <c r="G207" s="5"/>
      <c r="H207" s="5"/>
      <c r="I207" s="5"/>
      <c r="J207" s="5"/>
    </row>
    <row r="208" spans="1:10" ht="13.5" customHeight="1" x14ac:dyDescent="0.2">
      <c r="A208" s="78">
        <v>15121504</v>
      </c>
      <c r="B208" s="64" t="str">
        <f t="shared" ca="1" si="6"/>
        <v>Aceite hidráulico</v>
      </c>
      <c r="C208" s="63" t="s">
        <v>9559</v>
      </c>
      <c r="D208" s="63">
        <v>16</v>
      </c>
      <c r="E208" s="66">
        <v>350</v>
      </c>
      <c r="F208" s="65">
        <f t="shared" ca="1" si="7"/>
        <v>5600</v>
      </c>
      <c r="G208" s="5"/>
      <c r="H208" s="5"/>
      <c r="I208" s="5"/>
      <c r="J208" s="5"/>
    </row>
    <row r="209" spans="1:10" ht="13.5" customHeight="1" x14ac:dyDescent="0.2">
      <c r="A209" s="78">
        <v>15121509</v>
      </c>
      <c r="B209" s="64" t="str">
        <f t="shared" ca="1" si="6"/>
        <v>Aceite de frenos</v>
      </c>
      <c r="C209" s="63" t="s">
        <v>9559</v>
      </c>
      <c r="D209" s="63">
        <v>26</v>
      </c>
      <c r="E209" s="66">
        <v>220</v>
      </c>
      <c r="F209" s="65">
        <f t="shared" ca="1" si="7"/>
        <v>5720</v>
      </c>
      <c r="G209" s="5"/>
      <c r="H209" s="5"/>
      <c r="I209" s="5"/>
      <c r="J209" s="5"/>
    </row>
    <row r="210" spans="1:10" ht="13.5" customHeight="1" x14ac:dyDescent="0.2">
      <c r="A210" s="78">
        <v>15121802</v>
      </c>
      <c r="B210" s="64" t="str">
        <f t="shared" ca="1" si="6"/>
        <v>Lubricante anti – corrosión</v>
      </c>
      <c r="C210" s="63" t="s">
        <v>1449</v>
      </c>
      <c r="D210" s="63">
        <v>15</v>
      </c>
      <c r="E210" s="66">
        <v>300</v>
      </c>
      <c r="F210" s="65">
        <f t="shared" ca="1" si="7"/>
        <v>4500</v>
      </c>
      <c r="G210" s="5"/>
      <c r="H210" s="5"/>
      <c r="I210" s="5"/>
      <c r="J210" s="5"/>
    </row>
    <row r="211" spans="1:10" ht="13.5" customHeight="1" x14ac:dyDescent="0.2">
      <c r="A211" s="78">
        <v>15121901</v>
      </c>
      <c r="B211" s="64" t="str">
        <f t="shared" ca="1" si="6"/>
        <v>Grasa de silicona</v>
      </c>
      <c r="C211" s="63" t="s">
        <v>9559</v>
      </c>
      <c r="D211" s="63">
        <v>16</v>
      </c>
      <c r="E211" s="66">
        <v>280</v>
      </c>
      <c r="F211" s="65">
        <f t="shared" ca="1" si="7"/>
        <v>4480</v>
      </c>
      <c r="G211" s="5"/>
      <c r="H211" s="5"/>
      <c r="I211" s="5"/>
      <c r="J211" s="5"/>
    </row>
    <row r="212" spans="1:10" ht="13.5" customHeight="1" x14ac:dyDescent="0.2">
      <c r="A212" s="78">
        <v>15121520</v>
      </c>
      <c r="B212" s="64" t="str">
        <f t="shared" ca="1" si="6"/>
        <v>Lubricantes de propósito general</v>
      </c>
      <c r="C212" s="63" t="s">
        <v>9559</v>
      </c>
      <c r="D212" s="63">
        <v>38</v>
      </c>
      <c r="E212" s="66">
        <v>600</v>
      </c>
      <c r="F212" s="65">
        <f t="shared" ca="1" si="7"/>
        <v>22800</v>
      </c>
      <c r="G212" s="5"/>
      <c r="H212" s="5"/>
      <c r="I212" s="5"/>
      <c r="J212" s="5"/>
    </row>
    <row r="213" spans="1:10" ht="14.1" customHeight="1" x14ac:dyDescent="0.2">
      <c r="A213" s="5"/>
      <c r="B213" s="5"/>
      <c r="C213" s="5"/>
      <c r="D213" s="5"/>
      <c r="E213" s="68" t="s">
        <v>12550</v>
      </c>
      <c r="F213" s="69">
        <f ca="1">SUM(Table322[MONTO TOTAL ESTIMADO])</f>
        <v>62500</v>
      </c>
      <c r="G213" s="5"/>
      <c r="H213" s="5" t="str">
        <f>C199</f>
        <v>Bienes</v>
      </c>
      <c r="I213" s="5" t="str">
        <f>E199</f>
        <v>Sí</v>
      </c>
      <c r="J213" s="5" t="str">
        <f>D199</f>
        <v>Compras por debajo del Umbral</v>
      </c>
    </row>
    <row r="214" spans="1:10" ht="14.1" customHeight="1" thickBot="1" x14ac:dyDescent="0.3"/>
    <row r="215" spans="1:10" ht="33.75" customHeight="1" thickBot="1" x14ac:dyDescent="0.25">
      <c r="A215" s="59" t="s">
        <v>16382</v>
      </c>
      <c r="B215" s="59" t="s">
        <v>161</v>
      </c>
      <c r="C215" s="59" t="s">
        <v>11724</v>
      </c>
      <c r="D215" s="59" t="s">
        <v>14378</v>
      </c>
      <c r="E215" s="59" t="s">
        <v>10962</v>
      </c>
      <c r="F215" s="59" t="s">
        <v>11095</v>
      </c>
      <c r="G215" s="5"/>
      <c r="H215" s="5"/>
      <c r="I215" s="5"/>
      <c r="J215" s="5"/>
    </row>
    <row r="216" spans="1:10" ht="13.5" customHeight="1" thickBot="1" x14ac:dyDescent="0.25">
      <c r="A216" s="77" t="s">
        <v>18839</v>
      </c>
      <c r="B216" s="77" t="s">
        <v>18840</v>
      </c>
      <c r="C216" s="61" t="s">
        <v>17797</v>
      </c>
      <c r="D216" s="61" t="s">
        <v>10171</v>
      </c>
      <c r="E216" s="61" t="s">
        <v>8854</v>
      </c>
      <c r="F216" s="61"/>
      <c r="G216" s="5"/>
      <c r="H216" s="5"/>
      <c r="I216" s="5"/>
      <c r="J216" s="5"/>
    </row>
    <row r="217" spans="1:10" ht="14.1" customHeight="1" thickBot="1" x14ac:dyDescent="0.25">
      <c r="A217" s="82" t="s">
        <v>14828</v>
      </c>
      <c r="B217" s="62" t="s">
        <v>8528</v>
      </c>
      <c r="C217" s="71">
        <v>43831</v>
      </c>
      <c r="D217" s="82" t="s">
        <v>9385</v>
      </c>
      <c r="E217" s="62" t="s">
        <v>13093</v>
      </c>
      <c r="F217" s="61" t="s">
        <v>3080</v>
      </c>
      <c r="G217" s="5"/>
      <c r="H217" s="5"/>
      <c r="I217" s="5"/>
      <c r="J217" s="5"/>
    </row>
    <row r="218" spans="1:10" ht="14.1" customHeight="1" thickBot="1" x14ac:dyDescent="0.25">
      <c r="A218" s="83"/>
      <c r="B218" s="62" t="s">
        <v>1786</v>
      </c>
      <c r="C218" s="60">
        <f>IF(C217="","",IF(AND(MONTH(C217)&gt;=1,MONTH(C217)&lt;=3),1,IF(AND(MONTH(C217)&gt;=4,MONTH(C217)&lt;=6),2,IF(AND(MONTH(C217)&gt;=7,MONTH(C217)&lt;=9),3,4))))</f>
        <v>1</v>
      </c>
      <c r="D218" s="83"/>
      <c r="E218" s="62" t="s">
        <v>2417</v>
      </c>
      <c r="F218" s="61" t="s">
        <v>11112</v>
      </c>
      <c r="G218" s="5"/>
      <c r="H218" s="5"/>
      <c r="I218" s="5"/>
      <c r="J218" s="5"/>
    </row>
    <row r="219" spans="1:10" ht="14.1" customHeight="1" thickBot="1" x14ac:dyDescent="0.25">
      <c r="A219" s="83"/>
      <c r="B219" s="62" t="s">
        <v>12942</v>
      </c>
      <c r="C219" s="71">
        <v>43921</v>
      </c>
      <c r="D219" s="83"/>
      <c r="E219" s="62" t="s">
        <v>3073</v>
      </c>
      <c r="F219" s="61" t="s">
        <v>11112</v>
      </c>
      <c r="G219" s="5"/>
      <c r="H219" s="5"/>
      <c r="I219" s="5"/>
      <c r="J219" s="5"/>
    </row>
    <row r="220" spans="1:10" ht="14.1" customHeight="1" thickBot="1" x14ac:dyDescent="0.25">
      <c r="A220" s="83"/>
      <c r="B220" s="62" t="s">
        <v>1786</v>
      </c>
      <c r="C220" s="60">
        <f>IF(C219="","",IF(AND(MONTH(C219)&gt;=1,MONTH(C219)&lt;=3),1,IF(AND(MONTH(C219)&gt;=4,MONTH(C219)&lt;=6),2,IF(AND(MONTH(C219)&gt;=7,MONTH(C219)&lt;=9),3,4))))</f>
        <v>1</v>
      </c>
      <c r="D220" s="83"/>
      <c r="E220" s="62" t="s">
        <v>13192</v>
      </c>
      <c r="F220" s="61" t="s">
        <v>11112</v>
      </c>
      <c r="G220" s="5"/>
      <c r="H220" s="5"/>
      <c r="I220" s="5"/>
      <c r="J220" s="5"/>
    </row>
    <row r="221" spans="1:10" ht="14.1" customHeight="1" thickBot="1" x14ac:dyDescent="0.25">
      <c r="A221" s="5"/>
      <c r="B221" s="5"/>
      <c r="C221" s="5"/>
      <c r="D221" s="5"/>
      <c r="E221" s="5"/>
      <c r="F221" s="5"/>
      <c r="G221" s="5"/>
      <c r="H221" s="5"/>
      <c r="I221" s="5"/>
      <c r="J221" s="5"/>
    </row>
    <row r="222" spans="1:10" ht="14.1" customHeight="1" thickBot="1" x14ac:dyDescent="0.25">
      <c r="A222" s="67" t="s">
        <v>15735</v>
      </c>
      <c r="B222" s="67" t="s">
        <v>16146</v>
      </c>
      <c r="C222" s="67" t="s">
        <v>15641</v>
      </c>
      <c r="D222" s="67" t="s">
        <v>15251</v>
      </c>
      <c r="E222" s="67" t="s">
        <v>6932</v>
      </c>
      <c r="F222" s="67" t="s">
        <v>15280</v>
      </c>
      <c r="G222" s="5"/>
      <c r="H222" s="5"/>
      <c r="I222" s="5"/>
      <c r="J222" s="5"/>
    </row>
    <row r="223" spans="1:10" ht="13.5" customHeight="1" x14ac:dyDescent="0.2">
      <c r="A223" s="78">
        <v>31211505</v>
      </c>
      <c r="B223" s="64" t="str">
        <f ca="1">IFERROR(INDEX(UNSPSCDes,MATCH(INDIRECT(ADDRESS(ROW(),COLUMN()-1,4)),UNSPSCCode,0)),"")</f>
        <v>Pinturas de aceite</v>
      </c>
      <c r="C223" s="63" t="s">
        <v>9559</v>
      </c>
      <c r="D223" s="63">
        <v>10</v>
      </c>
      <c r="E223" s="66">
        <v>5000</v>
      </c>
      <c r="F223" s="65">
        <f ca="1">INDIRECT(ADDRESS(ROW(),COLUMN()-2,4))*INDIRECT(ADDRESS(ROW(),COLUMN()-1,4))</f>
        <v>50000</v>
      </c>
      <c r="G223" s="5"/>
      <c r="H223" s="5"/>
      <c r="I223" s="5"/>
      <c r="J223" s="5"/>
    </row>
    <row r="224" spans="1:10" ht="13.5" customHeight="1" x14ac:dyDescent="0.2">
      <c r="A224" s="78">
        <v>31211604</v>
      </c>
      <c r="B224" s="64" t="str">
        <f ca="1">IFERROR(INDEX(UNSPSCDes,MATCH(INDIRECT(ADDRESS(ROW(),COLUMN()-1,4)),UNSPSCCode,0)),"")</f>
        <v>Diluyentes para pinturas</v>
      </c>
      <c r="C224" s="63" t="s">
        <v>9559</v>
      </c>
      <c r="D224" s="63">
        <v>10</v>
      </c>
      <c r="E224" s="66">
        <v>300</v>
      </c>
      <c r="F224" s="65">
        <f ca="1">INDIRECT(ADDRESS(ROW(),COLUMN()-2,4))*INDIRECT(ADDRESS(ROW(),COLUMN()-1,4))</f>
        <v>3000</v>
      </c>
      <c r="G224" s="5"/>
      <c r="H224" s="5"/>
      <c r="I224" s="5"/>
      <c r="J224" s="5"/>
    </row>
    <row r="225" spans="1:10" ht="13.5" customHeight="1" x14ac:dyDescent="0.2">
      <c r="A225" s="78">
        <v>31211904</v>
      </c>
      <c r="B225" s="64" t="str">
        <f ca="1">IFERROR(INDEX(UNSPSCDes,MATCH(INDIRECT(ADDRESS(ROW(),COLUMN()-1,4)),UNSPSCCode,0)),"")</f>
        <v>Brochas</v>
      </c>
      <c r="C225" s="63" t="s">
        <v>1449</v>
      </c>
      <c r="D225" s="63">
        <v>10</v>
      </c>
      <c r="E225" s="66">
        <v>200</v>
      </c>
      <c r="F225" s="65">
        <f ca="1">INDIRECT(ADDRESS(ROW(),COLUMN()-2,4))*INDIRECT(ADDRESS(ROW(),COLUMN()-1,4))</f>
        <v>2000</v>
      </c>
      <c r="G225" s="5"/>
      <c r="H225" s="5"/>
      <c r="I225" s="5"/>
      <c r="J225" s="5"/>
    </row>
    <row r="226" spans="1:10" ht="13.5" customHeight="1" x14ac:dyDescent="0.2">
      <c r="A226" s="78">
        <v>31211906</v>
      </c>
      <c r="B226" s="64" t="str">
        <f ca="1">IFERROR(INDEX(UNSPSCDes,MATCH(INDIRECT(ADDRESS(ROW(),COLUMN()-1,4)),UNSPSCCode,0)),"")</f>
        <v>Rodillos de pintar</v>
      </c>
      <c r="C226" s="63" t="s">
        <v>1449</v>
      </c>
      <c r="D226" s="63">
        <v>13</v>
      </c>
      <c r="E226" s="66">
        <v>300</v>
      </c>
      <c r="F226" s="65">
        <f ca="1">INDIRECT(ADDRESS(ROW(),COLUMN()-2,4))*INDIRECT(ADDRESS(ROW(),COLUMN()-1,4))</f>
        <v>3900</v>
      </c>
      <c r="G226" s="5"/>
      <c r="H226" s="5"/>
      <c r="I226" s="5"/>
      <c r="J226" s="5"/>
    </row>
    <row r="227" spans="1:10" ht="13.5" customHeight="1" x14ac:dyDescent="0.2">
      <c r="A227" s="78">
        <v>31211909</v>
      </c>
      <c r="B227" s="64" t="str">
        <f ca="1">IFERROR(INDEX(UNSPSCDes,MATCH(INDIRECT(ADDRESS(ROW(),COLUMN()-1,4)),UNSPSCCode,0)),"")</f>
        <v>Bandejas de pintura</v>
      </c>
      <c r="C227" s="63" t="s">
        <v>1449</v>
      </c>
      <c r="D227" s="63">
        <v>12</v>
      </c>
      <c r="E227" s="66">
        <v>300</v>
      </c>
      <c r="F227" s="65">
        <f ca="1">INDIRECT(ADDRESS(ROW(),COLUMN()-2,4))*INDIRECT(ADDRESS(ROW(),COLUMN()-1,4))</f>
        <v>3600</v>
      </c>
      <c r="G227" s="5"/>
      <c r="H227" s="5"/>
      <c r="I227" s="5"/>
      <c r="J227" s="5"/>
    </row>
    <row r="228" spans="1:10" ht="14.1" customHeight="1" x14ac:dyDescent="0.2">
      <c r="A228" s="5"/>
      <c r="B228" s="5"/>
      <c r="C228" s="5"/>
      <c r="D228" s="5"/>
      <c r="E228" s="68" t="s">
        <v>12550</v>
      </c>
      <c r="F228" s="69">
        <f ca="1">SUM(Table324[MONTO TOTAL ESTIMADO])</f>
        <v>62500</v>
      </c>
      <c r="G228" s="5"/>
      <c r="H228" s="5" t="str">
        <f>C216</f>
        <v>Bienes</v>
      </c>
      <c r="I228" s="5" t="str">
        <f>E216</f>
        <v>Sí</v>
      </c>
      <c r="J228" s="5" t="str">
        <f>D216</f>
        <v>Compras por debajo del Umbral</v>
      </c>
    </row>
    <row r="229" spans="1:10" ht="14.1" customHeight="1" thickBot="1" x14ac:dyDescent="0.3"/>
    <row r="230" spans="1:10" ht="33.75" customHeight="1" thickBot="1" x14ac:dyDescent="0.25">
      <c r="A230" s="59" t="s">
        <v>16382</v>
      </c>
      <c r="B230" s="59" t="s">
        <v>161</v>
      </c>
      <c r="C230" s="59" t="s">
        <v>11724</v>
      </c>
      <c r="D230" s="59" t="s">
        <v>14378</v>
      </c>
      <c r="E230" s="59" t="s">
        <v>10962</v>
      </c>
      <c r="F230" s="59" t="s">
        <v>11095</v>
      </c>
      <c r="G230" s="5"/>
      <c r="H230" s="5"/>
      <c r="I230" s="5"/>
      <c r="J230" s="5"/>
    </row>
    <row r="231" spans="1:10" ht="13.5" customHeight="1" thickBot="1" x14ac:dyDescent="0.25">
      <c r="A231" s="77" t="s">
        <v>18841</v>
      </c>
      <c r="B231" s="77" t="s">
        <v>18840</v>
      </c>
      <c r="C231" s="61" t="s">
        <v>17797</v>
      </c>
      <c r="D231" s="61" t="s">
        <v>10171</v>
      </c>
      <c r="E231" s="61" t="s">
        <v>8854</v>
      </c>
      <c r="F231" s="61"/>
      <c r="G231" s="5"/>
      <c r="H231" s="5"/>
      <c r="I231" s="5"/>
      <c r="J231" s="5"/>
    </row>
    <row r="232" spans="1:10" ht="14.1" customHeight="1" thickBot="1" x14ac:dyDescent="0.25">
      <c r="A232" s="82" t="s">
        <v>14828</v>
      </c>
      <c r="B232" s="62" t="s">
        <v>8528</v>
      </c>
      <c r="C232" s="71">
        <v>43922</v>
      </c>
      <c r="D232" s="82" t="s">
        <v>9385</v>
      </c>
      <c r="E232" s="62" t="s">
        <v>13093</v>
      </c>
      <c r="F232" s="61" t="s">
        <v>3080</v>
      </c>
      <c r="G232" s="5"/>
      <c r="H232" s="5"/>
      <c r="I232" s="5"/>
      <c r="J232" s="5"/>
    </row>
    <row r="233" spans="1:10" ht="14.1" customHeight="1" thickBot="1" x14ac:dyDescent="0.25">
      <c r="A233" s="83"/>
      <c r="B233" s="62" t="s">
        <v>1786</v>
      </c>
      <c r="C233" s="60">
        <f>IF(C232="","",IF(AND(MONTH(C232)&gt;=1,MONTH(C232)&lt;=3),1,IF(AND(MONTH(C232)&gt;=4,MONTH(C232)&lt;=6),2,IF(AND(MONTH(C232)&gt;=7,MONTH(C232)&lt;=9),3,4))))</f>
        <v>2</v>
      </c>
      <c r="D233" s="83"/>
      <c r="E233" s="62" t="s">
        <v>2417</v>
      </c>
      <c r="F233" s="61" t="s">
        <v>11112</v>
      </c>
      <c r="G233" s="5"/>
      <c r="H233" s="5"/>
      <c r="I233" s="5"/>
      <c r="J233" s="5"/>
    </row>
    <row r="234" spans="1:10" ht="14.1" customHeight="1" thickBot="1" x14ac:dyDescent="0.25">
      <c r="A234" s="83"/>
      <c r="B234" s="62" t="s">
        <v>12942</v>
      </c>
      <c r="C234" s="71">
        <v>44012</v>
      </c>
      <c r="D234" s="83"/>
      <c r="E234" s="62" t="s">
        <v>3073</v>
      </c>
      <c r="F234" s="61" t="s">
        <v>11112</v>
      </c>
      <c r="G234" s="5"/>
      <c r="H234" s="5"/>
      <c r="I234" s="5"/>
      <c r="J234" s="5"/>
    </row>
    <row r="235" spans="1:10" ht="14.1" customHeight="1" thickBot="1" x14ac:dyDescent="0.25">
      <c r="A235" s="83"/>
      <c r="B235" s="62" t="s">
        <v>1786</v>
      </c>
      <c r="C235" s="60">
        <f>IF(C234="","",IF(AND(MONTH(C234)&gt;=1,MONTH(C234)&lt;=3),1,IF(AND(MONTH(C234)&gt;=4,MONTH(C234)&lt;=6),2,IF(AND(MONTH(C234)&gt;=7,MONTH(C234)&lt;=9),3,4))))</f>
        <v>2</v>
      </c>
      <c r="D235" s="83"/>
      <c r="E235" s="62" t="s">
        <v>13192</v>
      </c>
      <c r="F235" s="61" t="s">
        <v>11112</v>
      </c>
      <c r="G235" s="5"/>
      <c r="H235" s="5"/>
      <c r="I235" s="5"/>
      <c r="J235" s="5"/>
    </row>
    <row r="236" spans="1:10" ht="14.1" customHeight="1" thickBot="1" x14ac:dyDescent="0.25">
      <c r="A236" s="5"/>
      <c r="B236" s="5"/>
      <c r="C236" s="5"/>
      <c r="D236" s="5"/>
      <c r="E236" s="5"/>
      <c r="F236" s="5"/>
      <c r="G236" s="5"/>
      <c r="H236" s="5"/>
      <c r="I236" s="5"/>
      <c r="J236" s="5"/>
    </row>
    <row r="237" spans="1:10" ht="14.1" customHeight="1" thickBot="1" x14ac:dyDescent="0.25">
      <c r="A237" s="67" t="s">
        <v>15735</v>
      </c>
      <c r="B237" s="67" t="s">
        <v>16146</v>
      </c>
      <c r="C237" s="67" t="s">
        <v>15641</v>
      </c>
      <c r="D237" s="67" t="s">
        <v>15251</v>
      </c>
      <c r="E237" s="67" t="s">
        <v>6932</v>
      </c>
      <c r="F237" s="67" t="s">
        <v>15280</v>
      </c>
      <c r="G237" s="5"/>
      <c r="H237" s="5"/>
      <c r="I237" s="5"/>
      <c r="J237" s="5"/>
    </row>
    <row r="238" spans="1:10" ht="13.5" customHeight="1" x14ac:dyDescent="0.2">
      <c r="A238" s="78">
        <v>31211505</v>
      </c>
      <c r="B238" s="64" t="str">
        <f ca="1">IFERROR(INDEX(UNSPSCDes,MATCH(INDIRECT(ADDRESS(ROW(),COLUMN()-1,4)),UNSPSCCode,0)),"")</f>
        <v>Pinturas de aceite</v>
      </c>
      <c r="C238" s="63" t="s">
        <v>9559</v>
      </c>
      <c r="D238" s="63">
        <v>10</v>
      </c>
      <c r="E238" s="66">
        <v>5000</v>
      </c>
      <c r="F238" s="65">
        <f ca="1">INDIRECT(ADDRESS(ROW(),COLUMN()-2,4))*INDIRECT(ADDRESS(ROW(),COLUMN()-1,4))</f>
        <v>50000</v>
      </c>
      <c r="G238" s="5"/>
      <c r="H238" s="5"/>
      <c r="I238" s="5"/>
      <c r="J238" s="5"/>
    </row>
    <row r="239" spans="1:10" ht="13.5" customHeight="1" x14ac:dyDescent="0.2">
      <c r="A239" s="78">
        <v>31211604</v>
      </c>
      <c r="B239" s="64" t="str">
        <f ca="1">IFERROR(INDEX(UNSPSCDes,MATCH(INDIRECT(ADDRESS(ROW(),COLUMN()-1,4)),UNSPSCCode,0)),"")</f>
        <v>Diluyentes para pinturas</v>
      </c>
      <c r="C239" s="63" t="s">
        <v>9559</v>
      </c>
      <c r="D239" s="63">
        <v>10</v>
      </c>
      <c r="E239" s="66">
        <v>300</v>
      </c>
      <c r="F239" s="65">
        <f ca="1">INDIRECT(ADDRESS(ROW(),COLUMN()-2,4))*INDIRECT(ADDRESS(ROW(),COLUMN()-1,4))</f>
        <v>3000</v>
      </c>
      <c r="G239" s="5"/>
      <c r="H239" s="5"/>
      <c r="I239" s="5"/>
      <c r="J239" s="5"/>
    </row>
    <row r="240" spans="1:10" ht="13.5" customHeight="1" x14ac:dyDescent="0.2">
      <c r="A240" s="78">
        <v>31211904</v>
      </c>
      <c r="B240" s="64" t="str">
        <f ca="1">IFERROR(INDEX(UNSPSCDes,MATCH(INDIRECT(ADDRESS(ROW(),COLUMN()-1,4)),UNSPSCCode,0)),"")</f>
        <v>Brochas</v>
      </c>
      <c r="C240" s="63" t="s">
        <v>1449</v>
      </c>
      <c r="D240" s="63">
        <v>10</v>
      </c>
      <c r="E240" s="66">
        <v>200</v>
      </c>
      <c r="F240" s="65">
        <f ca="1">INDIRECT(ADDRESS(ROW(),COLUMN()-2,4))*INDIRECT(ADDRESS(ROW(),COLUMN()-1,4))</f>
        <v>2000</v>
      </c>
      <c r="G240" s="5"/>
      <c r="H240" s="5"/>
      <c r="I240" s="5"/>
      <c r="J240" s="5"/>
    </row>
    <row r="241" spans="1:10" ht="13.5" customHeight="1" x14ac:dyDescent="0.2">
      <c r="A241" s="78">
        <v>31211906</v>
      </c>
      <c r="B241" s="64" t="str">
        <f ca="1">IFERROR(INDEX(UNSPSCDes,MATCH(INDIRECT(ADDRESS(ROW(),COLUMN()-1,4)),UNSPSCCode,0)),"")</f>
        <v>Rodillos de pintar</v>
      </c>
      <c r="C241" s="63" t="s">
        <v>1449</v>
      </c>
      <c r="D241" s="63">
        <v>13</v>
      </c>
      <c r="E241" s="66">
        <v>300</v>
      </c>
      <c r="F241" s="65">
        <f ca="1">INDIRECT(ADDRESS(ROW(),COLUMN()-2,4))*INDIRECT(ADDRESS(ROW(),COLUMN()-1,4))</f>
        <v>3900</v>
      </c>
      <c r="G241" s="5"/>
      <c r="H241" s="5"/>
      <c r="I241" s="5"/>
      <c r="J241" s="5"/>
    </row>
    <row r="242" spans="1:10" ht="13.5" customHeight="1" x14ac:dyDescent="0.2">
      <c r="A242" s="78">
        <v>31211909</v>
      </c>
      <c r="B242" s="64" t="str">
        <f ca="1">IFERROR(INDEX(UNSPSCDes,MATCH(INDIRECT(ADDRESS(ROW(),COLUMN()-1,4)),UNSPSCCode,0)),"")</f>
        <v>Bandejas de pintura</v>
      </c>
      <c r="C242" s="63" t="s">
        <v>1449</v>
      </c>
      <c r="D242" s="63">
        <v>12</v>
      </c>
      <c r="E242" s="66">
        <v>300</v>
      </c>
      <c r="F242" s="65">
        <f ca="1">INDIRECT(ADDRESS(ROW(),COLUMN()-2,4))*INDIRECT(ADDRESS(ROW(),COLUMN()-1,4))</f>
        <v>3600</v>
      </c>
      <c r="G242" s="5"/>
      <c r="H242" s="5"/>
      <c r="I242" s="5"/>
      <c r="J242" s="5"/>
    </row>
    <row r="243" spans="1:10" ht="14.1" customHeight="1" x14ac:dyDescent="0.2">
      <c r="A243" s="5"/>
      <c r="B243" s="5"/>
      <c r="C243" s="5"/>
      <c r="D243" s="5"/>
      <c r="E243" s="68" t="s">
        <v>12550</v>
      </c>
      <c r="F243" s="69">
        <f ca="1">SUM(Table325[MONTO TOTAL ESTIMADO])</f>
        <v>62500</v>
      </c>
      <c r="G243" s="5"/>
      <c r="H243" s="5" t="str">
        <f>C231</f>
        <v>Bienes</v>
      </c>
      <c r="I243" s="5" t="str">
        <f>E231</f>
        <v>Sí</v>
      </c>
      <c r="J243" s="5" t="str">
        <f>D231</f>
        <v>Compras por debajo del Umbral</v>
      </c>
    </row>
    <row r="244" spans="1:10" ht="14.1" customHeight="1" thickBot="1" x14ac:dyDescent="0.3"/>
    <row r="245" spans="1:10" ht="33.75" customHeight="1" thickBot="1" x14ac:dyDescent="0.25">
      <c r="A245" s="59" t="s">
        <v>16382</v>
      </c>
      <c r="B245" s="59" t="s">
        <v>161</v>
      </c>
      <c r="C245" s="59" t="s">
        <v>11724</v>
      </c>
      <c r="D245" s="59" t="s">
        <v>14378</v>
      </c>
      <c r="E245" s="59" t="s">
        <v>10962</v>
      </c>
      <c r="F245" s="59" t="s">
        <v>11095</v>
      </c>
      <c r="G245" s="5"/>
      <c r="H245" s="5"/>
      <c r="I245" s="5"/>
      <c r="J245" s="5"/>
    </row>
    <row r="246" spans="1:10" ht="13.5" customHeight="1" thickBot="1" x14ac:dyDescent="0.25">
      <c r="A246" s="77" t="s">
        <v>18841</v>
      </c>
      <c r="B246" s="77" t="s">
        <v>18840</v>
      </c>
      <c r="C246" s="61" t="s">
        <v>17797</v>
      </c>
      <c r="D246" s="61" t="s">
        <v>10171</v>
      </c>
      <c r="E246" s="61" t="s">
        <v>8854</v>
      </c>
      <c r="F246" s="61"/>
      <c r="G246" s="5"/>
      <c r="H246" s="5"/>
      <c r="I246" s="5"/>
      <c r="J246" s="5"/>
    </row>
    <row r="247" spans="1:10" ht="14.1" customHeight="1" thickBot="1" x14ac:dyDescent="0.25">
      <c r="A247" s="82" t="s">
        <v>14828</v>
      </c>
      <c r="B247" s="62" t="s">
        <v>8528</v>
      </c>
      <c r="C247" s="71">
        <v>44013</v>
      </c>
      <c r="D247" s="82" t="s">
        <v>9385</v>
      </c>
      <c r="E247" s="62" t="s">
        <v>13093</v>
      </c>
      <c r="F247" s="61" t="s">
        <v>3080</v>
      </c>
      <c r="G247" s="5"/>
      <c r="H247" s="5"/>
      <c r="I247" s="5"/>
      <c r="J247" s="5"/>
    </row>
    <row r="248" spans="1:10" ht="14.1" customHeight="1" thickBot="1" x14ac:dyDescent="0.25">
      <c r="A248" s="83"/>
      <c r="B248" s="62" t="s">
        <v>1786</v>
      </c>
      <c r="C248" s="60">
        <f>IF(C247="","",IF(AND(MONTH(C247)&gt;=1,MONTH(C247)&lt;=3),1,IF(AND(MONTH(C247)&gt;=4,MONTH(C247)&lt;=6),2,IF(AND(MONTH(C247)&gt;=7,MONTH(C247)&lt;=9),3,4))))</f>
        <v>3</v>
      </c>
      <c r="D248" s="83"/>
      <c r="E248" s="62" t="s">
        <v>2417</v>
      </c>
      <c r="F248" s="61" t="s">
        <v>11112</v>
      </c>
      <c r="G248" s="5"/>
      <c r="H248" s="5"/>
      <c r="I248" s="5"/>
      <c r="J248" s="5"/>
    </row>
    <row r="249" spans="1:10" ht="14.1" customHeight="1" thickBot="1" x14ac:dyDescent="0.25">
      <c r="A249" s="83"/>
      <c r="B249" s="62" t="s">
        <v>12942</v>
      </c>
      <c r="C249" s="71">
        <v>44104</v>
      </c>
      <c r="D249" s="83"/>
      <c r="E249" s="62" t="s">
        <v>3073</v>
      </c>
      <c r="F249" s="61" t="s">
        <v>11112</v>
      </c>
      <c r="G249" s="5"/>
      <c r="H249" s="5"/>
      <c r="I249" s="5"/>
      <c r="J249" s="5"/>
    </row>
    <row r="250" spans="1:10" ht="14.1" customHeight="1" thickBot="1" x14ac:dyDescent="0.25">
      <c r="A250" s="83"/>
      <c r="B250" s="62" t="s">
        <v>1786</v>
      </c>
      <c r="C250" s="60">
        <f>IF(C249="","",IF(AND(MONTH(C249)&gt;=1,MONTH(C249)&lt;=3),1,IF(AND(MONTH(C249)&gt;=4,MONTH(C249)&lt;=6),2,IF(AND(MONTH(C249)&gt;=7,MONTH(C249)&lt;=9),3,4))))</f>
        <v>3</v>
      </c>
      <c r="D250" s="83"/>
      <c r="E250" s="62" t="s">
        <v>13192</v>
      </c>
      <c r="F250" s="61" t="s">
        <v>11112</v>
      </c>
      <c r="G250" s="5"/>
      <c r="H250" s="5"/>
      <c r="I250" s="5"/>
      <c r="J250" s="5"/>
    </row>
    <row r="251" spans="1:10" ht="14.1" customHeight="1" thickBot="1" x14ac:dyDescent="0.25">
      <c r="A251" s="5"/>
      <c r="B251" s="5"/>
      <c r="C251" s="5"/>
      <c r="D251" s="5"/>
      <c r="E251" s="5"/>
      <c r="F251" s="5"/>
      <c r="G251" s="5"/>
      <c r="H251" s="5"/>
      <c r="I251" s="5"/>
      <c r="J251" s="5"/>
    </row>
    <row r="252" spans="1:10" ht="14.1" customHeight="1" thickBot="1" x14ac:dyDescent="0.25">
      <c r="A252" s="67" t="s">
        <v>15735</v>
      </c>
      <c r="B252" s="67" t="s">
        <v>16146</v>
      </c>
      <c r="C252" s="67" t="s">
        <v>15641</v>
      </c>
      <c r="D252" s="67" t="s">
        <v>15251</v>
      </c>
      <c r="E252" s="67" t="s">
        <v>6932</v>
      </c>
      <c r="F252" s="67" t="s">
        <v>15280</v>
      </c>
      <c r="G252" s="5"/>
      <c r="H252" s="5"/>
      <c r="I252" s="5"/>
      <c r="J252" s="5"/>
    </row>
    <row r="253" spans="1:10" ht="13.5" customHeight="1" x14ac:dyDescent="0.2">
      <c r="A253" s="78">
        <v>31211505</v>
      </c>
      <c r="B253" s="64" t="str">
        <f ca="1">IFERROR(INDEX(UNSPSCDes,MATCH(INDIRECT(ADDRESS(ROW(),COLUMN()-1,4)),UNSPSCCode,0)),"")</f>
        <v>Pinturas de aceite</v>
      </c>
      <c r="C253" s="63" t="s">
        <v>9559</v>
      </c>
      <c r="D253" s="63">
        <v>10</v>
      </c>
      <c r="E253" s="66">
        <v>5000</v>
      </c>
      <c r="F253" s="65">
        <f ca="1">INDIRECT(ADDRESS(ROW(),COLUMN()-2,4))*INDIRECT(ADDRESS(ROW(),COLUMN()-1,4))</f>
        <v>50000</v>
      </c>
      <c r="G253" s="5"/>
      <c r="H253" s="5"/>
      <c r="I253" s="5"/>
      <c r="J253" s="5"/>
    </row>
    <row r="254" spans="1:10" ht="13.5" customHeight="1" x14ac:dyDescent="0.2">
      <c r="A254" s="78">
        <v>31211604</v>
      </c>
      <c r="B254" s="64" t="str">
        <f ca="1">IFERROR(INDEX(UNSPSCDes,MATCH(INDIRECT(ADDRESS(ROW(),COLUMN()-1,4)),UNSPSCCode,0)),"")</f>
        <v>Diluyentes para pinturas</v>
      </c>
      <c r="C254" s="63" t="s">
        <v>9559</v>
      </c>
      <c r="D254" s="63">
        <v>10</v>
      </c>
      <c r="E254" s="66">
        <v>300</v>
      </c>
      <c r="F254" s="65">
        <f ca="1">INDIRECT(ADDRESS(ROW(),COLUMN()-2,4))*INDIRECT(ADDRESS(ROW(),COLUMN()-1,4))</f>
        <v>3000</v>
      </c>
      <c r="G254" s="5"/>
      <c r="H254" s="5"/>
      <c r="I254" s="5"/>
      <c r="J254" s="5"/>
    </row>
    <row r="255" spans="1:10" ht="13.5" customHeight="1" x14ac:dyDescent="0.2">
      <c r="A255" s="78">
        <v>31211904</v>
      </c>
      <c r="B255" s="64" t="str">
        <f ca="1">IFERROR(INDEX(UNSPSCDes,MATCH(INDIRECT(ADDRESS(ROW(),COLUMN()-1,4)),UNSPSCCode,0)),"")</f>
        <v>Brochas</v>
      </c>
      <c r="C255" s="63" t="s">
        <v>1449</v>
      </c>
      <c r="D255" s="63">
        <v>10</v>
      </c>
      <c r="E255" s="66">
        <v>200</v>
      </c>
      <c r="F255" s="65">
        <f ca="1">INDIRECT(ADDRESS(ROW(),COLUMN()-2,4))*INDIRECT(ADDRESS(ROW(),COLUMN()-1,4))</f>
        <v>2000</v>
      </c>
      <c r="G255" s="5"/>
      <c r="H255" s="5"/>
      <c r="I255" s="5"/>
      <c r="J255" s="5"/>
    </row>
    <row r="256" spans="1:10" ht="13.5" customHeight="1" x14ac:dyDescent="0.2">
      <c r="A256" s="78">
        <v>31211906</v>
      </c>
      <c r="B256" s="64" t="str">
        <f ca="1">IFERROR(INDEX(UNSPSCDes,MATCH(INDIRECT(ADDRESS(ROW(),COLUMN()-1,4)),UNSPSCCode,0)),"")</f>
        <v>Rodillos de pintar</v>
      </c>
      <c r="C256" s="63" t="s">
        <v>1449</v>
      </c>
      <c r="D256" s="63">
        <v>13</v>
      </c>
      <c r="E256" s="66">
        <v>300</v>
      </c>
      <c r="F256" s="65">
        <f ca="1">INDIRECT(ADDRESS(ROW(),COLUMN()-2,4))*INDIRECT(ADDRESS(ROW(),COLUMN()-1,4))</f>
        <v>3900</v>
      </c>
      <c r="G256" s="5"/>
      <c r="H256" s="5"/>
      <c r="I256" s="5"/>
      <c r="J256" s="5"/>
    </row>
    <row r="257" spans="1:10" ht="13.5" customHeight="1" x14ac:dyDescent="0.2">
      <c r="A257" s="78">
        <v>31211909</v>
      </c>
      <c r="B257" s="64" t="str">
        <f ca="1">IFERROR(INDEX(UNSPSCDes,MATCH(INDIRECT(ADDRESS(ROW(),COLUMN()-1,4)),UNSPSCCode,0)),"")</f>
        <v>Bandejas de pintura</v>
      </c>
      <c r="C257" s="63" t="s">
        <v>1449</v>
      </c>
      <c r="D257" s="63">
        <v>12</v>
      </c>
      <c r="E257" s="66">
        <v>300</v>
      </c>
      <c r="F257" s="65">
        <f ca="1">INDIRECT(ADDRESS(ROW(),COLUMN()-2,4))*INDIRECT(ADDRESS(ROW(),COLUMN()-1,4))</f>
        <v>3600</v>
      </c>
      <c r="G257" s="5"/>
      <c r="H257" s="5"/>
      <c r="I257" s="5"/>
      <c r="J257" s="5"/>
    </row>
    <row r="258" spans="1:10" ht="14.1" customHeight="1" x14ac:dyDescent="0.2">
      <c r="A258" s="5"/>
      <c r="B258" s="5"/>
      <c r="C258" s="5"/>
      <c r="D258" s="5"/>
      <c r="E258" s="68" t="s">
        <v>12550</v>
      </c>
      <c r="F258" s="69">
        <f ca="1">SUM(Table326[MONTO TOTAL ESTIMADO])</f>
        <v>62500</v>
      </c>
      <c r="G258" s="5"/>
      <c r="H258" s="5" t="str">
        <f>C246</f>
        <v>Bienes</v>
      </c>
      <c r="I258" s="5" t="str">
        <f>E246</f>
        <v>Sí</v>
      </c>
      <c r="J258" s="5" t="str">
        <f>D246</f>
        <v>Compras por debajo del Umbral</v>
      </c>
    </row>
    <row r="259" spans="1:10" ht="14.1" customHeight="1" thickBot="1" x14ac:dyDescent="0.3"/>
    <row r="260" spans="1:10" ht="33.75" customHeight="1" thickBot="1" x14ac:dyDescent="0.25">
      <c r="A260" s="59" t="s">
        <v>16382</v>
      </c>
      <c r="B260" s="59" t="s">
        <v>161</v>
      </c>
      <c r="C260" s="59" t="s">
        <v>11724</v>
      </c>
      <c r="D260" s="59" t="s">
        <v>14378</v>
      </c>
      <c r="E260" s="59" t="s">
        <v>10962</v>
      </c>
      <c r="F260" s="59" t="s">
        <v>11095</v>
      </c>
      <c r="G260" s="5"/>
      <c r="H260" s="5"/>
      <c r="I260" s="5"/>
      <c r="J260" s="5"/>
    </row>
    <row r="261" spans="1:10" ht="13.5" customHeight="1" thickBot="1" x14ac:dyDescent="0.25">
      <c r="A261" s="77" t="s">
        <v>18841</v>
      </c>
      <c r="B261" s="77" t="s">
        <v>18840</v>
      </c>
      <c r="C261" s="61" t="s">
        <v>17797</v>
      </c>
      <c r="D261" s="61" t="s">
        <v>10171</v>
      </c>
      <c r="E261" s="61" t="s">
        <v>8854</v>
      </c>
      <c r="F261" s="61"/>
      <c r="G261" s="5"/>
      <c r="H261" s="5"/>
      <c r="I261" s="5"/>
      <c r="J261" s="5"/>
    </row>
    <row r="262" spans="1:10" ht="14.1" customHeight="1" thickBot="1" x14ac:dyDescent="0.25">
      <c r="A262" s="82" t="s">
        <v>14828</v>
      </c>
      <c r="B262" s="62" t="s">
        <v>8528</v>
      </c>
      <c r="C262" s="71">
        <v>44105</v>
      </c>
      <c r="D262" s="82" t="s">
        <v>9385</v>
      </c>
      <c r="E262" s="62" t="s">
        <v>13093</v>
      </c>
      <c r="F262" s="61" t="s">
        <v>3080</v>
      </c>
      <c r="G262" s="5"/>
      <c r="H262" s="5"/>
      <c r="I262" s="5"/>
      <c r="J262" s="5"/>
    </row>
    <row r="263" spans="1:10" ht="14.1" customHeight="1" thickBot="1" x14ac:dyDescent="0.25">
      <c r="A263" s="83"/>
      <c r="B263" s="62" t="s">
        <v>1786</v>
      </c>
      <c r="C263" s="60">
        <f>IF(C262="","",IF(AND(MONTH(C262)&gt;=1,MONTH(C262)&lt;=3),1,IF(AND(MONTH(C262)&gt;=4,MONTH(C262)&lt;=6),2,IF(AND(MONTH(C262)&gt;=7,MONTH(C262)&lt;=9),3,4))))</f>
        <v>4</v>
      </c>
      <c r="D263" s="83"/>
      <c r="E263" s="62" t="s">
        <v>2417</v>
      </c>
      <c r="F263" s="61" t="s">
        <v>11112</v>
      </c>
      <c r="G263" s="5"/>
      <c r="H263" s="5"/>
      <c r="I263" s="5"/>
      <c r="J263" s="5"/>
    </row>
    <row r="264" spans="1:10" ht="14.1" customHeight="1" thickBot="1" x14ac:dyDescent="0.25">
      <c r="A264" s="83"/>
      <c r="B264" s="62" t="s">
        <v>12942</v>
      </c>
      <c r="C264" s="71">
        <v>44196</v>
      </c>
      <c r="D264" s="83"/>
      <c r="E264" s="62" t="s">
        <v>3073</v>
      </c>
      <c r="F264" s="61" t="s">
        <v>11112</v>
      </c>
      <c r="G264" s="5"/>
      <c r="H264" s="5"/>
      <c r="I264" s="5"/>
      <c r="J264" s="5"/>
    </row>
    <row r="265" spans="1:10" ht="14.1" customHeight="1" thickBot="1" x14ac:dyDescent="0.25">
      <c r="A265" s="83"/>
      <c r="B265" s="62" t="s">
        <v>1786</v>
      </c>
      <c r="C265" s="60">
        <f>IF(C264="","",IF(AND(MONTH(C264)&gt;=1,MONTH(C264)&lt;=3),1,IF(AND(MONTH(C264)&gt;=4,MONTH(C264)&lt;=6),2,IF(AND(MONTH(C264)&gt;=7,MONTH(C264)&lt;=9),3,4))))</f>
        <v>4</v>
      </c>
      <c r="D265" s="83"/>
      <c r="E265" s="62" t="s">
        <v>13192</v>
      </c>
      <c r="F265" s="61" t="s">
        <v>11112</v>
      </c>
      <c r="G265" s="5"/>
      <c r="H265" s="5"/>
      <c r="I265" s="5"/>
      <c r="J265" s="5"/>
    </row>
    <row r="266" spans="1:10" ht="14.1" customHeight="1" thickBot="1" x14ac:dyDescent="0.25">
      <c r="A266" s="5"/>
      <c r="B266" s="5"/>
      <c r="C266" s="5"/>
      <c r="D266" s="5"/>
      <c r="E266" s="5"/>
      <c r="F266" s="5"/>
      <c r="G266" s="5"/>
      <c r="H266" s="5"/>
      <c r="I266" s="5"/>
      <c r="J266" s="5"/>
    </row>
    <row r="267" spans="1:10" ht="14.1" customHeight="1" thickBot="1" x14ac:dyDescent="0.25">
      <c r="A267" s="67" t="s">
        <v>15735</v>
      </c>
      <c r="B267" s="67" t="s">
        <v>16146</v>
      </c>
      <c r="C267" s="67" t="s">
        <v>15641</v>
      </c>
      <c r="D267" s="67" t="s">
        <v>15251</v>
      </c>
      <c r="E267" s="67" t="s">
        <v>6932</v>
      </c>
      <c r="F267" s="67" t="s">
        <v>15280</v>
      </c>
      <c r="G267" s="5"/>
      <c r="H267" s="5"/>
      <c r="I267" s="5"/>
      <c r="J267" s="5"/>
    </row>
    <row r="268" spans="1:10" ht="13.5" customHeight="1" x14ac:dyDescent="0.2">
      <c r="A268" s="78">
        <v>31211505</v>
      </c>
      <c r="B268" s="64" t="str">
        <f ca="1">IFERROR(INDEX(UNSPSCDes,MATCH(INDIRECT(ADDRESS(ROW(),COLUMN()-1,4)),UNSPSCCode,0)),"")</f>
        <v>Pinturas de aceite</v>
      </c>
      <c r="C268" s="63" t="s">
        <v>9559</v>
      </c>
      <c r="D268" s="63">
        <v>10</v>
      </c>
      <c r="E268" s="66">
        <v>5000</v>
      </c>
      <c r="F268" s="65">
        <f ca="1">INDIRECT(ADDRESS(ROW(),COLUMN()-2,4))*INDIRECT(ADDRESS(ROW(),COLUMN()-1,4))</f>
        <v>50000</v>
      </c>
      <c r="G268" s="5"/>
      <c r="H268" s="5"/>
      <c r="I268" s="5"/>
      <c r="J268" s="5"/>
    </row>
    <row r="269" spans="1:10" ht="13.5" customHeight="1" x14ac:dyDescent="0.2">
      <c r="A269" s="78">
        <v>31211604</v>
      </c>
      <c r="B269" s="64" t="str">
        <f ca="1">IFERROR(INDEX(UNSPSCDes,MATCH(INDIRECT(ADDRESS(ROW(),COLUMN()-1,4)),UNSPSCCode,0)),"")</f>
        <v>Diluyentes para pinturas</v>
      </c>
      <c r="C269" s="63" t="s">
        <v>9559</v>
      </c>
      <c r="D269" s="63">
        <v>10</v>
      </c>
      <c r="E269" s="66">
        <v>300</v>
      </c>
      <c r="F269" s="65">
        <f ca="1">INDIRECT(ADDRESS(ROW(),COLUMN()-2,4))*INDIRECT(ADDRESS(ROW(),COLUMN()-1,4))</f>
        <v>3000</v>
      </c>
      <c r="G269" s="5"/>
      <c r="H269" s="5"/>
      <c r="I269" s="5"/>
      <c r="J269" s="5"/>
    </row>
    <row r="270" spans="1:10" ht="13.5" customHeight="1" x14ac:dyDescent="0.2">
      <c r="A270" s="78">
        <v>31211904</v>
      </c>
      <c r="B270" s="64" t="str">
        <f ca="1">IFERROR(INDEX(UNSPSCDes,MATCH(INDIRECT(ADDRESS(ROW(),COLUMN()-1,4)),UNSPSCCode,0)),"")</f>
        <v>Brochas</v>
      </c>
      <c r="C270" s="63" t="s">
        <v>1449</v>
      </c>
      <c r="D270" s="63">
        <v>10</v>
      </c>
      <c r="E270" s="66">
        <v>200</v>
      </c>
      <c r="F270" s="65">
        <f ca="1">INDIRECT(ADDRESS(ROW(),COLUMN()-2,4))*INDIRECT(ADDRESS(ROW(),COLUMN()-1,4))</f>
        <v>2000</v>
      </c>
      <c r="G270" s="5"/>
      <c r="H270" s="5"/>
      <c r="I270" s="5"/>
      <c r="J270" s="5"/>
    </row>
    <row r="271" spans="1:10" ht="13.5" customHeight="1" x14ac:dyDescent="0.2">
      <c r="A271" s="78">
        <v>31211906</v>
      </c>
      <c r="B271" s="64" t="str">
        <f ca="1">IFERROR(INDEX(UNSPSCDes,MATCH(INDIRECT(ADDRESS(ROW(),COLUMN()-1,4)),UNSPSCCode,0)),"")</f>
        <v>Rodillos de pintar</v>
      </c>
      <c r="C271" s="63" t="s">
        <v>1449</v>
      </c>
      <c r="D271" s="63">
        <v>13</v>
      </c>
      <c r="E271" s="66">
        <v>300</v>
      </c>
      <c r="F271" s="65">
        <f ca="1">INDIRECT(ADDRESS(ROW(),COLUMN()-2,4))*INDIRECT(ADDRESS(ROW(),COLUMN()-1,4))</f>
        <v>3900</v>
      </c>
      <c r="G271" s="5"/>
      <c r="H271" s="5"/>
      <c r="I271" s="5"/>
      <c r="J271" s="5"/>
    </row>
    <row r="272" spans="1:10" ht="13.5" customHeight="1" x14ac:dyDescent="0.2">
      <c r="A272" s="78">
        <v>31211909</v>
      </c>
      <c r="B272" s="64" t="str">
        <f ca="1">IFERROR(INDEX(UNSPSCDes,MATCH(INDIRECT(ADDRESS(ROW(),COLUMN()-1,4)),UNSPSCCode,0)),"")</f>
        <v>Bandejas de pintura</v>
      </c>
      <c r="C272" s="63" t="s">
        <v>1449</v>
      </c>
      <c r="D272" s="63">
        <v>12</v>
      </c>
      <c r="E272" s="66">
        <v>300</v>
      </c>
      <c r="F272" s="65">
        <f ca="1">INDIRECT(ADDRESS(ROW(),COLUMN()-2,4))*INDIRECT(ADDRESS(ROW(),COLUMN()-1,4))</f>
        <v>3600</v>
      </c>
      <c r="G272" s="5"/>
      <c r="H272" s="5"/>
      <c r="I272" s="5"/>
      <c r="J272" s="5"/>
    </row>
    <row r="273" spans="1:10" ht="14.1" customHeight="1" x14ac:dyDescent="0.2">
      <c r="A273" s="5"/>
      <c r="B273" s="5"/>
      <c r="C273" s="5"/>
      <c r="D273" s="5"/>
      <c r="E273" s="68" t="s">
        <v>12550</v>
      </c>
      <c r="F273" s="69">
        <f ca="1">SUM(Table327[MONTO TOTAL ESTIMADO])</f>
        <v>62500</v>
      </c>
      <c r="G273" s="5"/>
      <c r="H273" s="5" t="str">
        <f>C261</f>
        <v>Bienes</v>
      </c>
      <c r="I273" s="5" t="str">
        <f>E261</f>
        <v>Sí</v>
      </c>
      <c r="J273" s="5" t="str">
        <f>D261</f>
        <v>Compras por debajo del Umbral</v>
      </c>
    </row>
    <row r="274" spans="1:10" ht="14.1" customHeight="1" thickBot="1" x14ac:dyDescent="0.3"/>
    <row r="275" spans="1:10" ht="33.75" customHeight="1" thickBot="1" x14ac:dyDescent="0.25">
      <c r="A275" s="59" t="s">
        <v>16382</v>
      </c>
      <c r="B275" s="59" t="s">
        <v>161</v>
      </c>
      <c r="C275" s="59" t="s">
        <v>11724</v>
      </c>
      <c r="D275" s="59" t="s">
        <v>14378</v>
      </c>
      <c r="E275" s="59" t="s">
        <v>10962</v>
      </c>
      <c r="F275" s="59" t="s">
        <v>11095</v>
      </c>
      <c r="G275" s="5"/>
      <c r="H275" s="5"/>
      <c r="I275" s="5"/>
      <c r="J275" s="5"/>
    </row>
    <row r="276" spans="1:10" ht="13.5" customHeight="1" thickBot="1" x14ac:dyDescent="0.25">
      <c r="A276" s="77" t="s">
        <v>18842</v>
      </c>
      <c r="B276" s="77" t="s">
        <v>18843</v>
      </c>
      <c r="C276" s="61" t="s">
        <v>17797</v>
      </c>
      <c r="D276" s="61" t="s">
        <v>17482</v>
      </c>
      <c r="E276" s="61" t="s">
        <v>8854</v>
      </c>
      <c r="F276" s="61"/>
      <c r="G276" s="5"/>
      <c r="H276" s="5"/>
      <c r="I276" s="5"/>
      <c r="J276" s="5"/>
    </row>
    <row r="277" spans="1:10" ht="14.1" customHeight="1" thickBot="1" x14ac:dyDescent="0.25">
      <c r="A277" s="82" t="s">
        <v>14828</v>
      </c>
      <c r="B277" s="62" t="s">
        <v>8528</v>
      </c>
      <c r="C277" s="71">
        <v>43831</v>
      </c>
      <c r="D277" s="82" t="s">
        <v>9385</v>
      </c>
      <c r="E277" s="62" t="s">
        <v>13093</v>
      </c>
      <c r="F277" s="61" t="s">
        <v>3080</v>
      </c>
      <c r="G277" s="5"/>
      <c r="H277" s="5"/>
      <c r="I277" s="5"/>
      <c r="J277" s="5"/>
    </row>
    <row r="278" spans="1:10" ht="14.1" customHeight="1" thickBot="1" x14ac:dyDescent="0.25">
      <c r="A278" s="83"/>
      <c r="B278" s="62" t="s">
        <v>1786</v>
      </c>
      <c r="C278" s="60">
        <f>IF(C277="","",IF(AND(MONTH(C277)&gt;=1,MONTH(C277)&lt;=3),1,IF(AND(MONTH(C277)&gt;=4,MONTH(C277)&lt;=6),2,IF(AND(MONTH(C277)&gt;=7,MONTH(C277)&lt;=9),3,4))))</f>
        <v>1</v>
      </c>
      <c r="D278" s="83"/>
      <c r="E278" s="62" t="s">
        <v>2417</v>
      </c>
      <c r="F278" s="61" t="s">
        <v>11112</v>
      </c>
      <c r="G278" s="5"/>
      <c r="H278" s="5"/>
      <c r="I278" s="5"/>
      <c r="J278" s="5"/>
    </row>
    <row r="279" spans="1:10" ht="14.1" customHeight="1" thickBot="1" x14ac:dyDescent="0.25">
      <c r="A279" s="83"/>
      <c r="B279" s="62" t="s">
        <v>12942</v>
      </c>
      <c r="C279" s="71">
        <v>43921</v>
      </c>
      <c r="D279" s="83"/>
      <c r="E279" s="62" t="s">
        <v>3073</v>
      </c>
      <c r="F279" s="61" t="s">
        <v>11112</v>
      </c>
      <c r="G279" s="5"/>
      <c r="H279" s="5"/>
      <c r="I279" s="5"/>
      <c r="J279" s="5"/>
    </row>
    <row r="280" spans="1:10" ht="14.1" customHeight="1" thickBot="1" x14ac:dyDescent="0.25">
      <c r="A280" s="83"/>
      <c r="B280" s="62" t="s">
        <v>1786</v>
      </c>
      <c r="C280" s="60">
        <f>IF(C279="","",IF(AND(MONTH(C279)&gt;=1,MONTH(C279)&lt;=3),1,IF(AND(MONTH(C279)&gt;=4,MONTH(C279)&lt;=6),2,IF(AND(MONTH(C279)&gt;=7,MONTH(C279)&lt;=9),3,4))))</f>
        <v>1</v>
      </c>
      <c r="D280" s="83"/>
      <c r="E280" s="62" t="s">
        <v>13192</v>
      </c>
      <c r="F280" s="61" t="s">
        <v>11112</v>
      </c>
      <c r="G280" s="5"/>
      <c r="H280" s="5"/>
      <c r="I280" s="5"/>
      <c r="J280" s="5"/>
    </row>
    <row r="281" spans="1:10" ht="14.1" customHeight="1" thickBot="1" x14ac:dyDescent="0.25">
      <c r="A281" s="5"/>
      <c r="B281" s="5"/>
      <c r="C281" s="5"/>
      <c r="D281" s="5"/>
      <c r="E281" s="5"/>
      <c r="F281" s="5"/>
      <c r="G281" s="5"/>
      <c r="H281" s="5"/>
      <c r="I281" s="5"/>
      <c r="J281" s="5"/>
    </row>
    <row r="282" spans="1:10" ht="14.1" customHeight="1" thickBot="1" x14ac:dyDescent="0.25">
      <c r="A282" s="67" t="s">
        <v>15735</v>
      </c>
      <c r="B282" s="67" t="s">
        <v>16146</v>
      </c>
      <c r="C282" s="67" t="s">
        <v>15641</v>
      </c>
      <c r="D282" s="67" t="s">
        <v>15251</v>
      </c>
      <c r="E282" s="67" t="s">
        <v>6932</v>
      </c>
      <c r="F282" s="67" t="s">
        <v>15280</v>
      </c>
      <c r="G282" s="5"/>
      <c r="H282" s="5"/>
      <c r="I282" s="5"/>
      <c r="J282" s="5"/>
    </row>
    <row r="283" spans="1:10" ht="13.5" customHeight="1" x14ac:dyDescent="0.2">
      <c r="A283" s="78">
        <v>47131611</v>
      </c>
      <c r="B283" s="64" t="str">
        <f t="shared" ref="B283:B302" ca="1" si="8">IFERROR(INDEX(UNSPSCDes,MATCH(INDIRECT(ADDRESS(ROW(),COLUMN()-1,4)),UNSPSCCode,0)),"")</f>
        <v>Recogedor de basura</v>
      </c>
      <c r="C283" s="63" t="s">
        <v>1449</v>
      </c>
      <c r="D283" s="63">
        <v>5</v>
      </c>
      <c r="E283" s="66">
        <v>200</v>
      </c>
      <c r="F283" s="65">
        <f t="shared" ref="F283:F302" ca="1" si="9">INDIRECT(ADDRESS(ROW(),COLUMN()-2,4))*INDIRECT(ADDRESS(ROW(),COLUMN()-1,4))</f>
        <v>1000</v>
      </c>
      <c r="G283" s="5"/>
      <c r="H283" s="5"/>
      <c r="I283" s="5"/>
      <c r="J283" s="5"/>
    </row>
    <row r="284" spans="1:10" ht="13.5" customHeight="1" x14ac:dyDescent="0.2">
      <c r="A284" s="78">
        <v>47131603</v>
      </c>
      <c r="B284" s="64" t="str">
        <f t="shared" ca="1" si="8"/>
        <v>Esponjas</v>
      </c>
      <c r="C284" s="63" t="s">
        <v>1449</v>
      </c>
      <c r="D284" s="63">
        <v>21</v>
      </c>
      <c r="E284" s="66">
        <v>100</v>
      </c>
      <c r="F284" s="65">
        <f t="shared" ca="1" si="9"/>
        <v>2100</v>
      </c>
      <c r="G284" s="5"/>
      <c r="H284" s="5"/>
      <c r="I284" s="5"/>
      <c r="J284" s="5"/>
    </row>
    <row r="285" spans="1:10" ht="13.5" customHeight="1" x14ac:dyDescent="0.2">
      <c r="A285" s="78">
        <v>47131617</v>
      </c>
      <c r="B285" s="64" t="str">
        <f t="shared" ca="1" si="8"/>
        <v>Traperos para polvo</v>
      </c>
      <c r="C285" s="63" t="s">
        <v>1449</v>
      </c>
      <c r="D285" s="63">
        <v>10</v>
      </c>
      <c r="E285" s="66">
        <v>300</v>
      </c>
      <c r="F285" s="65">
        <f t="shared" ca="1" si="9"/>
        <v>3000</v>
      </c>
      <c r="G285" s="5"/>
      <c r="H285" s="5"/>
      <c r="I285" s="5"/>
      <c r="J285" s="5"/>
    </row>
    <row r="286" spans="1:10" ht="13.5" customHeight="1" x14ac:dyDescent="0.2">
      <c r="A286" s="78">
        <v>47131605</v>
      </c>
      <c r="B286" s="64" t="str">
        <f t="shared" ca="1" si="8"/>
        <v>Cepillos de limpieza</v>
      </c>
      <c r="C286" s="63" t="s">
        <v>1449</v>
      </c>
      <c r="D286" s="63">
        <v>9</v>
      </c>
      <c r="E286" s="66">
        <v>100</v>
      </c>
      <c r="F286" s="65">
        <f t="shared" ca="1" si="9"/>
        <v>900</v>
      </c>
      <c r="G286" s="5"/>
      <c r="H286" s="5"/>
      <c r="I286" s="5"/>
      <c r="J286" s="5"/>
    </row>
    <row r="287" spans="1:10" ht="13.5" customHeight="1" x14ac:dyDescent="0.2">
      <c r="A287" s="78">
        <v>47131909</v>
      </c>
      <c r="B287" s="64" t="str">
        <f t="shared" ca="1" si="8"/>
        <v>Almohadillas o rollos absorbentes</v>
      </c>
      <c r="C287" s="63" t="s">
        <v>1449</v>
      </c>
      <c r="D287" s="63">
        <v>50</v>
      </c>
      <c r="E287" s="66">
        <v>400</v>
      </c>
      <c r="F287" s="65">
        <f t="shared" ca="1" si="9"/>
        <v>20000</v>
      </c>
      <c r="G287" s="5"/>
      <c r="H287" s="5"/>
      <c r="I287" s="5"/>
      <c r="J287" s="5"/>
    </row>
    <row r="288" spans="1:10" ht="13.5" customHeight="1" x14ac:dyDescent="0.2">
      <c r="A288" s="78">
        <v>47131830</v>
      </c>
      <c r="B288" s="64" t="str">
        <f t="shared" ca="1" si="8"/>
        <v>Limpiadores de muebles</v>
      </c>
      <c r="C288" s="63" t="s">
        <v>1449</v>
      </c>
      <c r="D288" s="63">
        <v>50</v>
      </c>
      <c r="E288" s="66">
        <v>300</v>
      </c>
      <c r="F288" s="65">
        <f t="shared" ca="1" si="9"/>
        <v>15000</v>
      </c>
      <c r="G288" s="5"/>
      <c r="H288" s="5"/>
      <c r="I288" s="5"/>
      <c r="J288" s="5"/>
    </row>
    <row r="289" spans="1:10" ht="13.5" customHeight="1" x14ac:dyDescent="0.2">
      <c r="A289" s="78">
        <v>47131824</v>
      </c>
      <c r="B289" s="64" t="str">
        <f t="shared" ca="1" si="8"/>
        <v>Limpiadores de vidrio o ventanas</v>
      </c>
      <c r="C289" s="63" t="s">
        <v>1449</v>
      </c>
      <c r="D289" s="63">
        <v>50</v>
      </c>
      <c r="E289" s="66">
        <v>400</v>
      </c>
      <c r="F289" s="65">
        <f t="shared" ca="1" si="9"/>
        <v>20000</v>
      </c>
      <c r="G289" s="5"/>
      <c r="H289" s="5"/>
      <c r="I289" s="5"/>
      <c r="J289" s="5"/>
    </row>
    <row r="290" spans="1:10" ht="13.5" customHeight="1" x14ac:dyDescent="0.2">
      <c r="A290" s="78">
        <v>47131810</v>
      </c>
      <c r="B290" s="64" t="str">
        <f t="shared" ca="1" si="8"/>
        <v>Productos para el lavaplatos</v>
      </c>
      <c r="C290" s="63" t="s">
        <v>9559</v>
      </c>
      <c r="D290" s="63">
        <v>60</v>
      </c>
      <c r="E290" s="66">
        <v>200</v>
      </c>
      <c r="F290" s="65">
        <f t="shared" ca="1" si="9"/>
        <v>12000</v>
      </c>
      <c r="G290" s="5"/>
      <c r="H290" s="5"/>
      <c r="I290" s="5"/>
      <c r="J290" s="5"/>
    </row>
    <row r="291" spans="1:10" ht="13.5" customHeight="1" x14ac:dyDescent="0.2">
      <c r="A291" s="78">
        <v>47131807</v>
      </c>
      <c r="B291" s="64" t="str">
        <f t="shared" ca="1" si="8"/>
        <v>Blanqueadores</v>
      </c>
      <c r="C291" s="63" t="s">
        <v>9559</v>
      </c>
      <c r="D291" s="63">
        <v>49</v>
      </c>
      <c r="E291" s="66">
        <v>200</v>
      </c>
      <c r="F291" s="65">
        <f t="shared" ca="1" si="9"/>
        <v>9800</v>
      </c>
      <c r="G291" s="5"/>
      <c r="H291" s="5"/>
      <c r="I291" s="5"/>
      <c r="J291" s="5"/>
    </row>
    <row r="292" spans="1:10" ht="13.5" customHeight="1" x14ac:dyDescent="0.2">
      <c r="A292" s="78">
        <v>47131803</v>
      </c>
      <c r="B292" s="64" t="str">
        <f t="shared" ca="1" si="8"/>
        <v>Desinfectantes para uso doméstico</v>
      </c>
      <c r="C292" s="63" t="s">
        <v>9559</v>
      </c>
      <c r="D292" s="63">
        <v>49</v>
      </c>
      <c r="E292" s="66">
        <v>300</v>
      </c>
      <c r="F292" s="65">
        <f t="shared" ca="1" si="9"/>
        <v>14700</v>
      </c>
      <c r="G292" s="5"/>
      <c r="H292" s="5"/>
      <c r="I292" s="5"/>
      <c r="J292" s="5"/>
    </row>
    <row r="293" spans="1:10" ht="13.5" customHeight="1" x14ac:dyDescent="0.2">
      <c r="A293" s="78">
        <v>47131706</v>
      </c>
      <c r="B293" s="64" t="str">
        <f t="shared" ca="1" si="8"/>
        <v>Dispensadores de ambientadores</v>
      </c>
      <c r="C293" s="63" t="s">
        <v>1449</v>
      </c>
      <c r="D293" s="63">
        <v>49</v>
      </c>
      <c r="E293" s="66">
        <v>500</v>
      </c>
      <c r="F293" s="65">
        <f t="shared" ca="1" si="9"/>
        <v>24500</v>
      </c>
      <c r="G293" s="5"/>
      <c r="H293" s="5"/>
      <c r="I293" s="5"/>
      <c r="J293" s="5"/>
    </row>
    <row r="294" spans="1:10" ht="13.5" customHeight="1" x14ac:dyDescent="0.2">
      <c r="A294" s="78">
        <v>47131604</v>
      </c>
      <c r="B294" s="64" t="str">
        <f t="shared" ca="1" si="8"/>
        <v>Escobas</v>
      </c>
      <c r="C294" s="63" t="s">
        <v>1449</v>
      </c>
      <c r="D294" s="63">
        <v>10</v>
      </c>
      <c r="E294" s="66">
        <v>300</v>
      </c>
      <c r="F294" s="65">
        <f t="shared" ca="1" si="9"/>
        <v>3000</v>
      </c>
      <c r="G294" s="5"/>
      <c r="H294" s="5"/>
      <c r="I294" s="5"/>
      <c r="J294" s="5"/>
    </row>
    <row r="295" spans="1:10" ht="13.5" customHeight="1" x14ac:dyDescent="0.2">
      <c r="A295" s="78">
        <v>47131502</v>
      </c>
      <c r="B295" s="64" t="str">
        <f t="shared" ca="1" si="8"/>
        <v>Pañitos o toallas para limpiar</v>
      </c>
      <c r="C295" s="63" t="s">
        <v>4735</v>
      </c>
      <c r="D295" s="63">
        <v>40</v>
      </c>
      <c r="E295" s="66">
        <v>200</v>
      </c>
      <c r="F295" s="65">
        <f t="shared" ca="1" si="9"/>
        <v>8000</v>
      </c>
      <c r="G295" s="5"/>
      <c r="H295" s="5"/>
      <c r="I295" s="5"/>
      <c r="J295" s="5"/>
    </row>
    <row r="296" spans="1:10" ht="13.5" customHeight="1" x14ac:dyDescent="0.2">
      <c r="A296" s="78">
        <v>47131818</v>
      </c>
      <c r="B296" s="64" t="str">
        <f t="shared" ca="1" si="8"/>
        <v>Antiséptico de aire</v>
      </c>
      <c r="C296" s="63" t="s">
        <v>1449</v>
      </c>
      <c r="D296" s="63">
        <v>50</v>
      </c>
      <c r="E296" s="66">
        <v>400</v>
      </c>
      <c r="F296" s="65">
        <f t="shared" ca="1" si="9"/>
        <v>20000</v>
      </c>
      <c r="G296" s="5"/>
      <c r="H296" s="5"/>
      <c r="I296" s="5"/>
      <c r="J296" s="5"/>
    </row>
    <row r="297" spans="1:10" ht="13.5" customHeight="1" x14ac:dyDescent="0.2">
      <c r="A297" s="78">
        <v>47121701</v>
      </c>
      <c r="B297" s="64" t="str">
        <f t="shared" ca="1" si="8"/>
        <v>Bolsas de basura</v>
      </c>
      <c r="C297" s="63" t="s">
        <v>4735</v>
      </c>
      <c r="D297" s="63">
        <v>50</v>
      </c>
      <c r="E297" s="66">
        <v>800</v>
      </c>
      <c r="F297" s="65">
        <f t="shared" ca="1" si="9"/>
        <v>40000</v>
      </c>
      <c r="G297" s="5"/>
      <c r="H297" s="5"/>
      <c r="I297" s="5"/>
      <c r="J297" s="5"/>
    </row>
    <row r="298" spans="1:10" ht="13.5" customHeight="1" x14ac:dyDescent="0.2">
      <c r="A298" s="78">
        <v>47121804</v>
      </c>
      <c r="B298" s="64" t="str">
        <f t="shared" ca="1" si="8"/>
        <v>Baldes para limpieza</v>
      </c>
      <c r="C298" s="63" t="s">
        <v>1449</v>
      </c>
      <c r="D298" s="63">
        <v>10</v>
      </c>
      <c r="E298" s="66">
        <v>200</v>
      </c>
      <c r="F298" s="65">
        <f t="shared" ca="1" si="9"/>
        <v>2000</v>
      </c>
      <c r="G298" s="5"/>
      <c r="H298" s="5"/>
      <c r="I298" s="5"/>
      <c r="J298" s="5"/>
    </row>
    <row r="299" spans="1:10" ht="13.5" customHeight="1" x14ac:dyDescent="0.2">
      <c r="A299" s="78">
        <v>47131612</v>
      </c>
      <c r="B299" s="64" t="str">
        <f t="shared" ca="1" si="8"/>
        <v>Cauchos de repuesto</v>
      </c>
      <c r="C299" s="63" t="s">
        <v>4735</v>
      </c>
      <c r="D299" s="63">
        <v>10</v>
      </c>
      <c r="E299" s="66">
        <v>200</v>
      </c>
      <c r="F299" s="65">
        <f t="shared" ca="1" si="9"/>
        <v>2000</v>
      </c>
      <c r="G299" s="5"/>
      <c r="H299" s="5"/>
      <c r="I299" s="5"/>
      <c r="J299" s="5"/>
    </row>
    <row r="300" spans="1:10" ht="13.5" customHeight="1" x14ac:dyDescent="0.2">
      <c r="A300" s="78">
        <v>47132102</v>
      </c>
      <c r="B300" s="64" t="str">
        <f t="shared" ca="1" si="8"/>
        <v>Kits de limpieza para uso general</v>
      </c>
      <c r="C300" s="63" t="s">
        <v>1449</v>
      </c>
      <c r="D300" s="63">
        <v>10</v>
      </c>
      <c r="E300" s="66">
        <v>2000</v>
      </c>
      <c r="F300" s="65">
        <f t="shared" ca="1" si="9"/>
        <v>20000</v>
      </c>
      <c r="G300" s="5"/>
      <c r="H300" s="5"/>
      <c r="I300" s="5"/>
      <c r="J300" s="5"/>
    </row>
    <row r="301" spans="1:10" ht="13.5" customHeight="1" x14ac:dyDescent="0.2">
      <c r="A301" s="78">
        <v>14111704</v>
      </c>
      <c r="B301" s="64" t="str">
        <f t="shared" ca="1" si="8"/>
        <v>Papel higiénico</v>
      </c>
      <c r="C301" s="63" t="s">
        <v>4735</v>
      </c>
      <c r="D301" s="63">
        <v>40</v>
      </c>
      <c r="E301" s="66">
        <v>500</v>
      </c>
      <c r="F301" s="65">
        <f t="shared" ca="1" si="9"/>
        <v>20000</v>
      </c>
      <c r="G301" s="5"/>
      <c r="H301" s="5"/>
      <c r="I301" s="5"/>
      <c r="J301" s="5"/>
    </row>
    <row r="302" spans="1:10" ht="13.5" customHeight="1" x14ac:dyDescent="0.2">
      <c r="A302" s="78">
        <v>14111705</v>
      </c>
      <c r="B302" s="64" t="str">
        <f t="shared" ca="1" si="8"/>
        <v>Servilletas de papel</v>
      </c>
      <c r="C302" s="63" t="s">
        <v>4735</v>
      </c>
      <c r="D302" s="63">
        <v>40</v>
      </c>
      <c r="E302" s="66">
        <v>300</v>
      </c>
      <c r="F302" s="65">
        <f t="shared" ca="1" si="9"/>
        <v>12000</v>
      </c>
      <c r="G302" s="5"/>
      <c r="H302" s="5"/>
      <c r="I302" s="5"/>
      <c r="J302" s="5"/>
    </row>
    <row r="303" spans="1:10" ht="14.1" customHeight="1" x14ac:dyDescent="0.2">
      <c r="A303" s="5"/>
      <c r="B303" s="5"/>
      <c r="C303" s="5"/>
      <c r="D303" s="5"/>
      <c r="E303" s="68" t="s">
        <v>12550</v>
      </c>
      <c r="F303" s="69">
        <f ca="1">SUM(Table328[MONTO TOTAL ESTIMADO])</f>
        <v>250000</v>
      </c>
      <c r="G303" s="5"/>
      <c r="H303" s="5" t="str">
        <f>C276</f>
        <v>Bienes</v>
      </c>
      <c r="I303" s="5" t="str">
        <f>E276</f>
        <v>Sí</v>
      </c>
      <c r="J303" s="5" t="str">
        <f>D276</f>
        <v>Compras Menores</v>
      </c>
    </row>
    <row r="304" spans="1:10" ht="14.1" customHeight="1" thickBot="1" x14ac:dyDescent="0.3"/>
    <row r="305" spans="1:10" ht="33.75" customHeight="1" thickBot="1" x14ac:dyDescent="0.25">
      <c r="A305" s="59" t="s">
        <v>16382</v>
      </c>
      <c r="B305" s="59" t="s">
        <v>161</v>
      </c>
      <c r="C305" s="59" t="s">
        <v>11724</v>
      </c>
      <c r="D305" s="59" t="s">
        <v>14378</v>
      </c>
      <c r="E305" s="59" t="s">
        <v>10962</v>
      </c>
      <c r="F305" s="59" t="s">
        <v>11095</v>
      </c>
      <c r="G305" s="5"/>
      <c r="H305" s="5"/>
      <c r="I305" s="5"/>
      <c r="J305" s="5"/>
    </row>
    <row r="306" spans="1:10" ht="13.5" customHeight="1" thickBot="1" x14ac:dyDescent="0.25">
      <c r="A306" s="77" t="s">
        <v>18842</v>
      </c>
      <c r="B306" s="77" t="s">
        <v>18843</v>
      </c>
      <c r="C306" s="61" t="s">
        <v>17797</v>
      </c>
      <c r="D306" s="61" t="s">
        <v>17482</v>
      </c>
      <c r="E306" s="61" t="s">
        <v>8854</v>
      </c>
      <c r="F306" s="61"/>
      <c r="G306" s="5"/>
      <c r="H306" s="5"/>
      <c r="I306" s="5"/>
      <c r="J306" s="5"/>
    </row>
    <row r="307" spans="1:10" ht="14.1" customHeight="1" thickBot="1" x14ac:dyDescent="0.25">
      <c r="A307" s="82" t="s">
        <v>14828</v>
      </c>
      <c r="B307" s="62" t="s">
        <v>8528</v>
      </c>
      <c r="C307" s="71">
        <v>43922</v>
      </c>
      <c r="D307" s="82" t="s">
        <v>9385</v>
      </c>
      <c r="E307" s="62" t="s">
        <v>13093</v>
      </c>
      <c r="F307" s="61" t="s">
        <v>3080</v>
      </c>
      <c r="G307" s="5"/>
      <c r="H307" s="5"/>
      <c r="I307" s="5"/>
      <c r="J307" s="5"/>
    </row>
    <row r="308" spans="1:10" ht="14.1" customHeight="1" thickBot="1" x14ac:dyDescent="0.25">
      <c r="A308" s="83"/>
      <c r="B308" s="62" t="s">
        <v>1786</v>
      </c>
      <c r="C308" s="60">
        <f>IF(C307="","",IF(AND(MONTH(C307)&gt;=1,MONTH(C307)&lt;=3),1,IF(AND(MONTH(C307)&gt;=4,MONTH(C307)&lt;=6),2,IF(AND(MONTH(C307)&gt;=7,MONTH(C307)&lt;=9),3,4))))</f>
        <v>2</v>
      </c>
      <c r="D308" s="83"/>
      <c r="E308" s="62" t="s">
        <v>2417</v>
      </c>
      <c r="F308" s="61" t="s">
        <v>11112</v>
      </c>
      <c r="G308" s="5"/>
      <c r="H308" s="5"/>
      <c r="I308" s="5"/>
      <c r="J308" s="5"/>
    </row>
    <row r="309" spans="1:10" ht="14.1" customHeight="1" thickBot="1" x14ac:dyDescent="0.25">
      <c r="A309" s="83"/>
      <c r="B309" s="62" t="s">
        <v>12942</v>
      </c>
      <c r="C309" s="71">
        <v>44012</v>
      </c>
      <c r="D309" s="83"/>
      <c r="E309" s="62" t="s">
        <v>3073</v>
      </c>
      <c r="F309" s="61" t="s">
        <v>11112</v>
      </c>
      <c r="G309" s="5"/>
      <c r="H309" s="5"/>
      <c r="I309" s="5"/>
      <c r="J309" s="5"/>
    </row>
    <row r="310" spans="1:10" ht="14.1" customHeight="1" thickBot="1" x14ac:dyDescent="0.25">
      <c r="A310" s="83"/>
      <c r="B310" s="62" t="s">
        <v>1786</v>
      </c>
      <c r="C310" s="60">
        <f>IF(C309="","",IF(AND(MONTH(C309)&gt;=1,MONTH(C309)&lt;=3),1,IF(AND(MONTH(C309)&gt;=4,MONTH(C309)&lt;=6),2,IF(AND(MONTH(C309)&gt;=7,MONTH(C309)&lt;=9),3,4))))</f>
        <v>2</v>
      </c>
      <c r="D310" s="83"/>
      <c r="E310" s="62" t="s">
        <v>13192</v>
      </c>
      <c r="F310" s="61" t="s">
        <v>11112</v>
      </c>
      <c r="G310" s="5"/>
      <c r="H310" s="5"/>
      <c r="I310" s="5"/>
      <c r="J310" s="5"/>
    </row>
    <row r="311" spans="1:10" ht="14.1" customHeight="1" thickBot="1" x14ac:dyDescent="0.25">
      <c r="A311" s="5"/>
      <c r="B311" s="5"/>
      <c r="C311" s="5"/>
      <c r="D311" s="5"/>
      <c r="E311" s="5"/>
      <c r="F311" s="5"/>
      <c r="G311" s="5"/>
      <c r="H311" s="5"/>
      <c r="I311" s="5"/>
      <c r="J311" s="5"/>
    </row>
    <row r="312" spans="1:10" ht="14.1" customHeight="1" thickBot="1" x14ac:dyDescent="0.25">
      <c r="A312" s="67" t="s">
        <v>15735</v>
      </c>
      <c r="B312" s="67" t="s">
        <v>16146</v>
      </c>
      <c r="C312" s="67" t="s">
        <v>15641</v>
      </c>
      <c r="D312" s="67" t="s">
        <v>15251</v>
      </c>
      <c r="E312" s="67" t="s">
        <v>6932</v>
      </c>
      <c r="F312" s="67" t="s">
        <v>15280</v>
      </c>
      <c r="G312" s="5"/>
      <c r="H312" s="5"/>
      <c r="I312" s="5"/>
      <c r="J312" s="5"/>
    </row>
    <row r="313" spans="1:10" ht="13.5" customHeight="1" x14ac:dyDescent="0.2">
      <c r="A313" s="78">
        <v>47131603</v>
      </c>
      <c r="B313" s="64" t="str">
        <f t="shared" ref="B313:B331" ca="1" si="10">IFERROR(INDEX(UNSPSCDes,MATCH(INDIRECT(ADDRESS(ROW(),COLUMN()-1,4)),UNSPSCCode,0)),"")</f>
        <v>Esponjas</v>
      </c>
      <c r="C313" s="63" t="s">
        <v>1449</v>
      </c>
      <c r="D313" s="63">
        <v>10</v>
      </c>
      <c r="E313" s="66">
        <v>100</v>
      </c>
      <c r="F313" s="65">
        <f t="shared" ref="F313:F331" ca="1" si="11">INDIRECT(ADDRESS(ROW(),COLUMN()-2,4))*INDIRECT(ADDRESS(ROW(),COLUMN()-1,4))</f>
        <v>1000</v>
      </c>
      <c r="G313" s="5"/>
      <c r="H313" s="5"/>
      <c r="I313" s="5"/>
      <c r="J313" s="5"/>
    </row>
    <row r="314" spans="1:10" ht="13.5" customHeight="1" x14ac:dyDescent="0.2">
      <c r="A314" s="78">
        <v>47131909</v>
      </c>
      <c r="B314" s="64" t="str">
        <f t="shared" ca="1" si="10"/>
        <v>Almohadillas o rollos absorbentes</v>
      </c>
      <c r="C314" s="63" t="s">
        <v>1449</v>
      </c>
      <c r="D314" s="63">
        <v>40</v>
      </c>
      <c r="E314" s="66">
        <v>400</v>
      </c>
      <c r="F314" s="65">
        <f t="shared" ca="1" si="11"/>
        <v>16000</v>
      </c>
      <c r="G314" s="5"/>
      <c r="H314" s="5"/>
      <c r="I314" s="5"/>
      <c r="J314" s="5"/>
    </row>
    <row r="315" spans="1:10" ht="13.5" customHeight="1" x14ac:dyDescent="0.2">
      <c r="A315" s="78">
        <v>47131830</v>
      </c>
      <c r="B315" s="64" t="str">
        <f t="shared" ca="1" si="10"/>
        <v>Limpiadores de muebles</v>
      </c>
      <c r="C315" s="63" t="s">
        <v>1449</v>
      </c>
      <c r="D315" s="63">
        <v>50</v>
      </c>
      <c r="E315" s="66">
        <v>300</v>
      </c>
      <c r="F315" s="65">
        <f t="shared" ca="1" si="11"/>
        <v>15000</v>
      </c>
      <c r="G315" s="5"/>
      <c r="H315" s="5"/>
      <c r="I315" s="5"/>
      <c r="J315" s="5"/>
    </row>
    <row r="316" spans="1:10" ht="13.5" customHeight="1" x14ac:dyDescent="0.2">
      <c r="A316" s="78">
        <v>47131824</v>
      </c>
      <c r="B316" s="64" t="str">
        <f t="shared" ca="1" si="10"/>
        <v>Limpiadores de vidrio o ventanas</v>
      </c>
      <c r="C316" s="63" t="s">
        <v>1449</v>
      </c>
      <c r="D316" s="63">
        <v>50</v>
      </c>
      <c r="E316" s="66">
        <v>400</v>
      </c>
      <c r="F316" s="65">
        <f t="shared" ca="1" si="11"/>
        <v>20000</v>
      </c>
      <c r="G316" s="5"/>
      <c r="H316" s="5"/>
      <c r="I316" s="5"/>
      <c r="J316" s="5"/>
    </row>
    <row r="317" spans="1:10" ht="13.5" customHeight="1" x14ac:dyDescent="0.2">
      <c r="A317" s="78">
        <v>47131810</v>
      </c>
      <c r="B317" s="64" t="str">
        <f t="shared" ca="1" si="10"/>
        <v>Productos para el lavaplatos</v>
      </c>
      <c r="C317" s="63" t="s">
        <v>9559</v>
      </c>
      <c r="D317" s="63">
        <v>50</v>
      </c>
      <c r="E317" s="66">
        <v>200</v>
      </c>
      <c r="F317" s="65">
        <f t="shared" ca="1" si="11"/>
        <v>10000</v>
      </c>
      <c r="G317" s="5"/>
      <c r="H317" s="5"/>
      <c r="I317" s="5"/>
      <c r="J317" s="5"/>
    </row>
    <row r="318" spans="1:10" ht="13.5" customHeight="1" x14ac:dyDescent="0.2">
      <c r="A318" s="78">
        <v>47131807</v>
      </c>
      <c r="B318" s="64" t="str">
        <f t="shared" ca="1" si="10"/>
        <v>Blanqueadores</v>
      </c>
      <c r="C318" s="63" t="s">
        <v>9559</v>
      </c>
      <c r="D318" s="63">
        <v>50</v>
      </c>
      <c r="E318" s="66">
        <v>200</v>
      </c>
      <c r="F318" s="65">
        <f t="shared" ca="1" si="11"/>
        <v>10000</v>
      </c>
      <c r="G318" s="5"/>
      <c r="H318" s="5"/>
      <c r="I318" s="5"/>
      <c r="J318" s="5"/>
    </row>
    <row r="319" spans="1:10" ht="13.5" customHeight="1" x14ac:dyDescent="0.2">
      <c r="A319" s="78">
        <v>47131803</v>
      </c>
      <c r="B319" s="64" t="str">
        <f t="shared" ca="1" si="10"/>
        <v>Desinfectantes para uso doméstico</v>
      </c>
      <c r="C319" s="63" t="s">
        <v>9559</v>
      </c>
      <c r="D319" s="63">
        <v>50</v>
      </c>
      <c r="E319" s="66">
        <v>300</v>
      </c>
      <c r="F319" s="65">
        <f t="shared" ca="1" si="11"/>
        <v>15000</v>
      </c>
      <c r="G319" s="5"/>
      <c r="H319" s="5"/>
      <c r="I319" s="5"/>
      <c r="J319" s="5"/>
    </row>
    <row r="320" spans="1:10" ht="13.5" customHeight="1" x14ac:dyDescent="0.2">
      <c r="A320" s="78">
        <v>47131706</v>
      </c>
      <c r="B320" s="64" t="str">
        <f t="shared" ca="1" si="10"/>
        <v>Dispensadores de ambientadores</v>
      </c>
      <c r="C320" s="63" t="s">
        <v>1449</v>
      </c>
      <c r="D320" s="63">
        <v>61</v>
      </c>
      <c r="E320" s="66">
        <v>500</v>
      </c>
      <c r="F320" s="65">
        <f t="shared" ca="1" si="11"/>
        <v>30500</v>
      </c>
      <c r="G320" s="5"/>
      <c r="H320" s="5"/>
      <c r="I320" s="5"/>
      <c r="J320" s="5"/>
    </row>
    <row r="321" spans="1:10" ht="13.5" customHeight="1" x14ac:dyDescent="0.2">
      <c r="A321" s="78">
        <v>47131818</v>
      </c>
      <c r="B321" s="64" t="str">
        <f t="shared" ca="1" si="10"/>
        <v>Antiséptico de aire</v>
      </c>
      <c r="C321" s="63" t="s">
        <v>1449</v>
      </c>
      <c r="D321" s="63">
        <v>50</v>
      </c>
      <c r="E321" s="66">
        <v>350</v>
      </c>
      <c r="F321" s="65">
        <f t="shared" ca="1" si="11"/>
        <v>17500</v>
      </c>
      <c r="G321" s="5"/>
      <c r="H321" s="5"/>
      <c r="I321" s="5"/>
      <c r="J321" s="5"/>
    </row>
    <row r="322" spans="1:10" ht="13.5" customHeight="1" x14ac:dyDescent="0.2">
      <c r="A322" s="78">
        <v>47131502</v>
      </c>
      <c r="B322" s="64" t="str">
        <f t="shared" ca="1" si="10"/>
        <v>Pañitos o toallas para limpiar</v>
      </c>
      <c r="C322" s="63" t="s">
        <v>4735</v>
      </c>
      <c r="D322" s="63">
        <v>40</v>
      </c>
      <c r="E322" s="66">
        <v>200</v>
      </c>
      <c r="F322" s="65">
        <f t="shared" ca="1" si="11"/>
        <v>8000</v>
      </c>
      <c r="G322" s="5"/>
      <c r="H322" s="5"/>
      <c r="I322" s="5"/>
      <c r="J322" s="5"/>
    </row>
    <row r="323" spans="1:10" ht="13.5" customHeight="1" x14ac:dyDescent="0.2">
      <c r="A323" s="78">
        <v>47121701</v>
      </c>
      <c r="B323" s="64" t="str">
        <f t="shared" ca="1" si="10"/>
        <v>Bolsas de basura</v>
      </c>
      <c r="C323" s="63" t="s">
        <v>4735</v>
      </c>
      <c r="D323" s="63">
        <v>50</v>
      </c>
      <c r="E323" s="66">
        <v>800</v>
      </c>
      <c r="F323" s="65">
        <f t="shared" ca="1" si="11"/>
        <v>40000</v>
      </c>
      <c r="G323" s="5"/>
      <c r="H323" s="5"/>
      <c r="I323" s="5"/>
      <c r="J323" s="5"/>
    </row>
    <row r="324" spans="1:10" ht="13.5" customHeight="1" x14ac:dyDescent="0.2">
      <c r="A324" s="78">
        <v>47132102</v>
      </c>
      <c r="B324" s="64" t="str">
        <f t="shared" ca="1" si="10"/>
        <v>Kits de limpieza para uso general</v>
      </c>
      <c r="C324" s="63" t="s">
        <v>1449</v>
      </c>
      <c r="D324" s="63">
        <v>11</v>
      </c>
      <c r="E324" s="66">
        <v>2000</v>
      </c>
      <c r="F324" s="65">
        <f t="shared" ca="1" si="11"/>
        <v>22000</v>
      </c>
      <c r="G324" s="5"/>
      <c r="H324" s="5"/>
      <c r="I324" s="5"/>
      <c r="J324" s="5"/>
    </row>
    <row r="325" spans="1:10" ht="13.5" customHeight="1" x14ac:dyDescent="0.2">
      <c r="A325" s="78">
        <v>47131617</v>
      </c>
      <c r="B325" s="64" t="str">
        <f t="shared" ca="1" si="10"/>
        <v>Traperos para polvo</v>
      </c>
      <c r="C325" s="63" t="s">
        <v>1449</v>
      </c>
      <c r="D325" s="63">
        <v>12</v>
      </c>
      <c r="E325" s="66">
        <v>300</v>
      </c>
      <c r="F325" s="65">
        <f t="shared" ca="1" si="11"/>
        <v>3600</v>
      </c>
      <c r="G325" s="5"/>
      <c r="H325" s="5"/>
      <c r="I325" s="5"/>
      <c r="J325" s="5"/>
    </row>
    <row r="326" spans="1:10" ht="13.5" customHeight="1" x14ac:dyDescent="0.2">
      <c r="A326" s="78">
        <v>47131605</v>
      </c>
      <c r="B326" s="64" t="str">
        <f t="shared" ca="1" si="10"/>
        <v>Cepillos de limpieza</v>
      </c>
      <c r="C326" s="63" t="s">
        <v>1449</v>
      </c>
      <c r="D326" s="63">
        <v>12</v>
      </c>
      <c r="E326" s="66">
        <v>100</v>
      </c>
      <c r="F326" s="65">
        <f t="shared" ca="1" si="11"/>
        <v>1200</v>
      </c>
      <c r="G326" s="5"/>
      <c r="H326" s="5"/>
      <c r="I326" s="5"/>
      <c r="J326" s="5"/>
    </row>
    <row r="327" spans="1:10" ht="13.5" customHeight="1" x14ac:dyDescent="0.2">
      <c r="A327" s="78">
        <v>47131604</v>
      </c>
      <c r="B327" s="64" t="str">
        <f t="shared" ca="1" si="10"/>
        <v>Escobas</v>
      </c>
      <c r="C327" s="63" t="s">
        <v>1449</v>
      </c>
      <c r="D327" s="63">
        <v>12</v>
      </c>
      <c r="E327" s="66">
        <v>300</v>
      </c>
      <c r="F327" s="65">
        <f t="shared" ca="1" si="11"/>
        <v>3600</v>
      </c>
      <c r="G327" s="5"/>
      <c r="H327" s="5"/>
      <c r="I327" s="5"/>
      <c r="J327" s="5"/>
    </row>
    <row r="328" spans="1:10" ht="13.5" customHeight="1" x14ac:dyDescent="0.2">
      <c r="A328" s="78">
        <v>47121804</v>
      </c>
      <c r="B328" s="64" t="str">
        <f t="shared" ca="1" si="10"/>
        <v>Baldes para limpieza</v>
      </c>
      <c r="C328" s="63" t="s">
        <v>1449</v>
      </c>
      <c r="D328" s="63">
        <v>11</v>
      </c>
      <c r="E328" s="66">
        <v>200</v>
      </c>
      <c r="F328" s="65">
        <f t="shared" ca="1" si="11"/>
        <v>2200</v>
      </c>
      <c r="G328" s="5"/>
      <c r="H328" s="5"/>
      <c r="I328" s="5"/>
      <c r="J328" s="5"/>
    </row>
    <row r="329" spans="1:10" ht="13.5" customHeight="1" x14ac:dyDescent="0.2">
      <c r="A329" s="78">
        <v>47131612</v>
      </c>
      <c r="B329" s="64" t="str">
        <f t="shared" ca="1" si="10"/>
        <v>Cauchos de repuesto</v>
      </c>
      <c r="C329" s="63" t="s">
        <v>4735</v>
      </c>
      <c r="D329" s="63">
        <v>12</v>
      </c>
      <c r="E329" s="66">
        <v>200</v>
      </c>
      <c r="F329" s="65">
        <f t="shared" ca="1" si="11"/>
        <v>2400</v>
      </c>
      <c r="G329" s="5"/>
      <c r="H329" s="5"/>
      <c r="I329" s="5"/>
      <c r="J329" s="5"/>
    </row>
    <row r="330" spans="1:10" ht="13.5" customHeight="1" x14ac:dyDescent="0.2">
      <c r="A330" s="78">
        <v>14111704</v>
      </c>
      <c r="B330" s="64" t="str">
        <f t="shared" ca="1" si="10"/>
        <v>Papel higiénico</v>
      </c>
      <c r="C330" s="63" t="s">
        <v>4735</v>
      </c>
      <c r="D330" s="63">
        <v>40</v>
      </c>
      <c r="E330" s="66">
        <v>500</v>
      </c>
      <c r="F330" s="65">
        <f t="shared" ca="1" si="11"/>
        <v>20000</v>
      </c>
      <c r="G330" s="5"/>
      <c r="H330" s="5"/>
      <c r="I330" s="5"/>
      <c r="J330" s="5"/>
    </row>
    <row r="331" spans="1:10" ht="13.5" customHeight="1" x14ac:dyDescent="0.2">
      <c r="A331" s="78">
        <v>14111705</v>
      </c>
      <c r="B331" s="64" t="str">
        <f t="shared" ca="1" si="10"/>
        <v>Servilletas de papel</v>
      </c>
      <c r="C331" s="63" t="s">
        <v>4735</v>
      </c>
      <c r="D331" s="63">
        <v>40</v>
      </c>
      <c r="E331" s="66">
        <v>300</v>
      </c>
      <c r="F331" s="65">
        <f t="shared" ca="1" si="11"/>
        <v>12000</v>
      </c>
      <c r="G331" s="5"/>
      <c r="H331" s="5"/>
      <c r="I331" s="5"/>
      <c r="J331" s="5"/>
    </row>
    <row r="332" spans="1:10" ht="14.1" customHeight="1" x14ac:dyDescent="0.2">
      <c r="A332" s="5"/>
      <c r="B332" s="5"/>
      <c r="C332" s="5"/>
      <c r="D332" s="5"/>
      <c r="E332" s="68" t="s">
        <v>12550</v>
      </c>
      <c r="F332" s="69">
        <f ca="1">SUM(Table329[MONTO TOTAL ESTIMADO])</f>
        <v>250000</v>
      </c>
      <c r="G332" s="5"/>
      <c r="H332" s="5" t="str">
        <f>C306</f>
        <v>Bienes</v>
      </c>
      <c r="I332" s="5" t="str">
        <f>E306</f>
        <v>Sí</v>
      </c>
      <c r="J332" s="5" t="str">
        <f>D306</f>
        <v>Compras Menores</v>
      </c>
    </row>
    <row r="333" spans="1:10" ht="14.1" customHeight="1" thickBot="1" x14ac:dyDescent="0.3"/>
    <row r="334" spans="1:10" ht="33.75" customHeight="1" thickBot="1" x14ac:dyDescent="0.25">
      <c r="A334" s="59" t="s">
        <v>16382</v>
      </c>
      <c r="B334" s="59" t="s">
        <v>161</v>
      </c>
      <c r="C334" s="59" t="s">
        <v>11724</v>
      </c>
      <c r="D334" s="59" t="s">
        <v>14378</v>
      </c>
      <c r="E334" s="59" t="s">
        <v>10962</v>
      </c>
      <c r="F334" s="59" t="s">
        <v>11095</v>
      </c>
      <c r="G334" s="5"/>
      <c r="H334" s="5"/>
      <c r="I334" s="5"/>
      <c r="J334" s="5"/>
    </row>
    <row r="335" spans="1:10" ht="13.5" customHeight="1" thickBot="1" x14ac:dyDescent="0.25">
      <c r="A335" s="77" t="s">
        <v>18842</v>
      </c>
      <c r="B335" s="77" t="s">
        <v>18843</v>
      </c>
      <c r="C335" s="61" t="s">
        <v>17797</v>
      </c>
      <c r="D335" s="61" t="s">
        <v>17482</v>
      </c>
      <c r="E335" s="61" t="s">
        <v>8854</v>
      </c>
      <c r="F335" s="61"/>
      <c r="G335" s="5"/>
      <c r="H335" s="5"/>
      <c r="I335" s="5"/>
      <c r="J335" s="5"/>
    </row>
    <row r="336" spans="1:10" ht="14.1" customHeight="1" thickBot="1" x14ac:dyDescent="0.25">
      <c r="A336" s="82" t="s">
        <v>14828</v>
      </c>
      <c r="B336" s="62" t="s">
        <v>8528</v>
      </c>
      <c r="C336" s="71">
        <v>44013</v>
      </c>
      <c r="D336" s="82" t="s">
        <v>9385</v>
      </c>
      <c r="E336" s="62" t="s">
        <v>13093</v>
      </c>
      <c r="F336" s="61" t="s">
        <v>3080</v>
      </c>
      <c r="G336" s="5"/>
      <c r="H336" s="5"/>
      <c r="I336" s="5"/>
      <c r="J336" s="5"/>
    </row>
    <row r="337" spans="1:10" ht="14.1" customHeight="1" thickBot="1" x14ac:dyDescent="0.25">
      <c r="A337" s="83"/>
      <c r="B337" s="62" t="s">
        <v>1786</v>
      </c>
      <c r="C337" s="60">
        <f>IF(C336="","",IF(AND(MONTH(C336)&gt;=1,MONTH(C336)&lt;=3),1,IF(AND(MONTH(C336)&gt;=4,MONTH(C336)&lt;=6),2,IF(AND(MONTH(C336)&gt;=7,MONTH(C336)&lt;=9),3,4))))</f>
        <v>3</v>
      </c>
      <c r="D337" s="83"/>
      <c r="E337" s="62" t="s">
        <v>2417</v>
      </c>
      <c r="F337" s="61" t="s">
        <v>11112</v>
      </c>
      <c r="G337" s="5"/>
      <c r="H337" s="5"/>
      <c r="I337" s="5"/>
      <c r="J337" s="5"/>
    </row>
    <row r="338" spans="1:10" ht="14.1" customHeight="1" thickBot="1" x14ac:dyDescent="0.25">
      <c r="A338" s="83"/>
      <c r="B338" s="62" t="s">
        <v>12942</v>
      </c>
      <c r="C338" s="71">
        <v>44104</v>
      </c>
      <c r="D338" s="83"/>
      <c r="E338" s="62" t="s">
        <v>3073</v>
      </c>
      <c r="F338" s="61" t="s">
        <v>11112</v>
      </c>
      <c r="G338" s="5"/>
      <c r="H338" s="5"/>
      <c r="I338" s="5"/>
      <c r="J338" s="5"/>
    </row>
    <row r="339" spans="1:10" ht="14.1" customHeight="1" thickBot="1" x14ac:dyDescent="0.25">
      <c r="A339" s="83"/>
      <c r="B339" s="62" t="s">
        <v>1786</v>
      </c>
      <c r="C339" s="60">
        <f>IF(C338="","",IF(AND(MONTH(C338)&gt;=1,MONTH(C338)&lt;=3),1,IF(AND(MONTH(C338)&gt;=4,MONTH(C338)&lt;=6),2,IF(AND(MONTH(C338)&gt;=7,MONTH(C338)&lt;=9),3,4))))</f>
        <v>3</v>
      </c>
      <c r="D339" s="83"/>
      <c r="E339" s="62" t="s">
        <v>13192</v>
      </c>
      <c r="F339" s="61" t="s">
        <v>11112</v>
      </c>
      <c r="G339" s="5"/>
      <c r="H339" s="5"/>
      <c r="I339" s="5"/>
      <c r="J339" s="5"/>
    </row>
    <row r="340" spans="1:10" ht="14.1" customHeight="1" thickBot="1" x14ac:dyDescent="0.25">
      <c r="A340" s="5"/>
      <c r="B340" s="5"/>
      <c r="C340" s="5"/>
      <c r="D340" s="5"/>
      <c r="E340" s="5"/>
      <c r="F340" s="5"/>
      <c r="G340" s="5"/>
      <c r="H340" s="5"/>
      <c r="I340" s="5"/>
      <c r="J340" s="5"/>
    </row>
    <row r="341" spans="1:10" ht="14.1" customHeight="1" thickBot="1" x14ac:dyDescent="0.25">
      <c r="A341" s="67" t="s">
        <v>15735</v>
      </c>
      <c r="B341" s="67" t="s">
        <v>16146</v>
      </c>
      <c r="C341" s="67" t="s">
        <v>15641</v>
      </c>
      <c r="D341" s="67" t="s">
        <v>15251</v>
      </c>
      <c r="E341" s="67" t="s">
        <v>6932</v>
      </c>
      <c r="F341" s="67" t="s">
        <v>15280</v>
      </c>
      <c r="G341" s="5"/>
      <c r="H341" s="5"/>
      <c r="I341" s="5"/>
      <c r="J341" s="5"/>
    </row>
    <row r="342" spans="1:10" ht="13.5" customHeight="1" x14ac:dyDescent="0.2">
      <c r="A342" s="78">
        <v>47131611</v>
      </c>
      <c r="B342" s="64" t="str">
        <f t="shared" ref="B342:B360" ca="1" si="12">IFERROR(INDEX(UNSPSCDes,MATCH(INDIRECT(ADDRESS(ROW(),COLUMN()-1,4)),UNSPSCCode,0)),"")</f>
        <v>Recogedor de basura</v>
      </c>
      <c r="C342" s="63" t="s">
        <v>1449</v>
      </c>
      <c r="D342" s="63">
        <v>5</v>
      </c>
      <c r="E342" s="66">
        <v>200</v>
      </c>
      <c r="F342" s="65">
        <f t="shared" ref="F342:F360" ca="1" si="13">INDIRECT(ADDRESS(ROW(),COLUMN()-2,4))*INDIRECT(ADDRESS(ROW(),COLUMN()-1,4))</f>
        <v>1000</v>
      </c>
      <c r="G342" s="5"/>
      <c r="H342" s="5"/>
      <c r="I342" s="5"/>
      <c r="J342" s="5"/>
    </row>
    <row r="343" spans="1:10" ht="13.5" customHeight="1" x14ac:dyDescent="0.2">
      <c r="A343" s="78">
        <v>47131603</v>
      </c>
      <c r="B343" s="64" t="str">
        <f t="shared" ca="1" si="12"/>
        <v>Esponjas</v>
      </c>
      <c r="C343" s="63" t="s">
        <v>1449</v>
      </c>
      <c r="D343" s="63">
        <v>21</v>
      </c>
      <c r="E343" s="66">
        <v>100</v>
      </c>
      <c r="F343" s="65">
        <f t="shared" ca="1" si="13"/>
        <v>2100</v>
      </c>
      <c r="G343" s="5"/>
      <c r="H343" s="5"/>
      <c r="I343" s="5"/>
      <c r="J343" s="5"/>
    </row>
    <row r="344" spans="1:10" ht="13.5" customHeight="1" x14ac:dyDescent="0.2">
      <c r="A344" s="78">
        <v>47131617</v>
      </c>
      <c r="B344" s="64" t="str">
        <f t="shared" ca="1" si="12"/>
        <v>Traperos para polvo</v>
      </c>
      <c r="C344" s="63" t="s">
        <v>1449</v>
      </c>
      <c r="D344" s="63">
        <v>11</v>
      </c>
      <c r="E344" s="66">
        <v>300</v>
      </c>
      <c r="F344" s="65">
        <f t="shared" ca="1" si="13"/>
        <v>3300</v>
      </c>
      <c r="G344" s="5"/>
      <c r="H344" s="5"/>
      <c r="I344" s="5"/>
      <c r="J344" s="5"/>
    </row>
    <row r="345" spans="1:10" ht="13.5" customHeight="1" x14ac:dyDescent="0.2">
      <c r="A345" s="78">
        <v>47131909</v>
      </c>
      <c r="B345" s="64" t="str">
        <f t="shared" ca="1" si="12"/>
        <v>Almohadillas o rollos absorbentes</v>
      </c>
      <c r="C345" s="63" t="s">
        <v>1449</v>
      </c>
      <c r="D345" s="63">
        <v>40</v>
      </c>
      <c r="E345" s="66">
        <v>400</v>
      </c>
      <c r="F345" s="65">
        <f t="shared" ca="1" si="13"/>
        <v>16000</v>
      </c>
      <c r="G345" s="5"/>
      <c r="H345" s="5"/>
      <c r="I345" s="5"/>
      <c r="J345" s="5"/>
    </row>
    <row r="346" spans="1:10" ht="13.5" customHeight="1" x14ac:dyDescent="0.2">
      <c r="A346" s="78">
        <v>47131830</v>
      </c>
      <c r="B346" s="64" t="str">
        <f t="shared" ca="1" si="12"/>
        <v>Limpiadores de muebles</v>
      </c>
      <c r="C346" s="63" t="s">
        <v>1449</v>
      </c>
      <c r="D346" s="63">
        <v>40</v>
      </c>
      <c r="E346" s="66">
        <v>300</v>
      </c>
      <c r="F346" s="65">
        <f t="shared" ca="1" si="13"/>
        <v>12000</v>
      </c>
      <c r="G346" s="5"/>
      <c r="H346" s="5"/>
      <c r="I346" s="5"/>
      <c r="J346" s="5"/>
    </row>
    <row r="347" spans="1:10" ht="13.5" customHeight="1" x14ac:dyDescent="0.2">
      <c r="A347" s="78">
        <v>47131824</v>
      </c>
      <c r="B347" s="64" t="str">
        <f t="shared" ca="1" si="12"/>
        <v>Limpiadores de vidrio o ventanas</v>
      </c>
      <c r="C347" s="63" t="s">
        <v>1449</v>
      </c>
      <c r="D347" s="63">
        <v>50</v>
      </c>
      <c r="E347" s="66">
        <v>400</v>
      </c>
      <c r="F347" s="65">
        <f t="shared" ca="1" si="13"/>
        <v>20000</v>
      </c>
      <c r="G347" s="5"/>
      <c r="H347" s="5"/>
      <c r="I347" s="5"/>
      <c r="J347" s="5"/>
    </row>
    <row r="348" spans="1:10" ht="13.5" customHeight="1" x14ac:dyDescent="0.2">
      <c r="A348" s="78">
        <v>47131810</v>
      </c>
      <c r="B348" s="64" t="str">
        <f t="shared" ca="1" si="12"/>
        <v>Productos para el lavaplatos</v>
      </c>
      <c r="C348" s="63" t="s">
        <v>9559</v>
      </c>
      <c r="D348" s="63">
        <v>55</v>
      </c>
      <c r="E348" s="66">
        <v>200</v>
      </c>
      <c r="F348" s="65">
        <f t="shared" ca="1" si="13"/>
        <v>11000</v>
      </c>
      <c r="G348" s="5"/>
      <c r="H348" s="5"/>
      <c r="I348" s="5"/>
      <c r="J348" s="5"/>
    </row>
    <row r="349" spans="1:10" ht="13.5" customHeight="1" x14ac:dyDescent="0.2">
      <c r="A349" s="78">
        <v>47131807</v>
      </c>
      <c r="B349" s="64" t="str">
        <f t="shared" ca="1" si="12"/>
        <v>Blanqueadores</v>
      </c>
      <c r="C349" s="63" t="s">
        <v>9559</v>
      </c>
      <c r="D349" s="63">
        <v>50</v>
      </c>
      <c r="E349" s="66">
        <v>200</v>
      </c>
      <c r="F349" s="65">
        <f t="shared" ca="1" si="13"/>
        <v>10000</v>
      </c>
      <c r="G349" s="5"/>
      <c r="H349" s="5"/>
      <c r="I349" s="5"/>
      <c r="J349" s="5"/>
    </row>
    <row r="350" spans="1:10" ht="13.5" customHeight="1" x14ac:dyDescent="0.2">
      <c r="A350" s="78">
        <v>47131803</v>
      </c>
      <c r="B350" s="64" t="str">
        <f t="shared" ca="1" si="12"/>
        <v>Desinfectantes para uso doméstico</v>
      </c>
      <c r="C350" s="63" t="s">
        <v>9559</v>
      </c>
      <c r="D350" s="63">
        <v>50</v>
      </c>
      <c r="E350" s="66">
        <v>300</v>
      </c>
      <c r="F350" s="65">
        <f t="shared" ca="1" si="13"/>
        <v>15000</v>
      </c>
      <c r="G350" s="5"/>
      <c r="H350" s="5"/>
      <c r="I350" s="5"/>
      <c r="J350" s="5"/>
    </row>
    <row r="351" spans="1:10" ht="13.5" customHeight="1" x14ac:dyDescent="0.2">
      <c r="A351" s="78">
        <v>47131706</v>
      </c>
      <c r="B351" s="64" t="str">
        <f t="shared" ca="1" si="12"/>
        <v>Dispensadores de ambientadores</v>
      </c>
      <c r="C351" s="63" t="s">
        <v>1449</v>
      </c>
      <c r="D351" s="63">
        <v>50</v>
      </c>
      <c r="E351" s="66">
        <v>500</v>
      </c>
      <c r="F351" s="65">
        <f t="shared" ca="1" si="13"/>
        <v>25000</v>
      </c>
      <c r="G351" s="5"/>
      <c r="H351" s="5"/>
      <c r="I351" s="5"/>
      <c r="J351" s="5"/>
    </row>
    <row r="352" spans="1:10" ht="13.5" customHeight="1" x14ac:dyDescent="0.2">
      <c r="A352" s="78">
        <v>47131604</v>
      </c>
      <c r="B352" s="64" t="str">
        <f t="shared" ca="1" si="12"/>
        <v>Escobas</v>
      </c>
      <c r="C352" s="63" t="s">
        <v>1449</v>
      </c>
      <c r="D352" s="63">
        <v>11</v>
      </c>
      <c r="E352" s="66">
        <v>300</v>
      </c>
      <c r="F352" s="65">
        <f t="shared" ca="1" si="13"/>
        <v>3300</v>
      </c>
      <c r="G352" s="5"/>
      <c r="H352" s="5"/>
      <c r="I352" s="5"/>
      <c r="J352" s="5"/>
    </row>
    <row r="353" spans="1:10" ht="13.5" customHeight="1" x14ac:dyDescent="0.2">
      <c r="A353" s="78">
        <v>47131502</v>
      </c>
      <c r="B353" s="64" t="str">
        <f t="shared" ca="1" si="12"/>
        <v>Pañitos o toallas para limpiar</v>
      </c>
      <c r="C353" s="63" t="s">
        <v>4735</v>
      </c>
      <c r="D353" s="63">
        <v>41</v>
      </c>
      <c r="E353" s="66">
        <v>200</v>
      </c>
      <c r="F353" s="65">
        <f t="shared" ca="1" si="13"/>
        <v>8200</v>
      </c>
      <c r="G353" s="5"/>
      <c r="H353" s="5"/>
      <c r="I353" s="5"/>
      <c r="J353" s="5"/>
    </row>
    <row r="354" spans="1:10" ht="13.5" customHeight="1" x14ac:dyDescent="0.2">
      <c r="A354" s="78">
        <v>47131818</v>
      </c>
      <c r="B354" s="64" t="str">
        <f t="shared" ca="1" si="12"/>
        <v>Antiséptico de aire</v>
      </c>
      <c r="C354" s="63" t="s">
        <v>1449</v>
      </c>
      <c r="D354" s="63">
        <v>50</v>
      </c>
      <c r="E354" s="66">
        <v>350</v>
      </c>
      <c r="F354" s="65">
        <f t="shared" ca="1" si="13"/>
        <v>17500</v>
      </c>
      <c r="G354" s="5"/>
      <c r="H354" s="5"/>
      <c r="I354" s="5"/>
      <c r="J354" s="5"/>
    </row>
    <row r="355" spans="1:10" ht="13.5" customHeight="1" x14ac:dyDescent="0.2">
      <c r="A355" s="78">
        <v>47121701</v>
      </c>
      <c r="B355" s="64" t="str">
        <f t="shared" ca="1" si="12"/>
        <v>Bolsas de basura</v>
      </c>
      <c r="C355" s="63" t="s">
        <v>4735</v>
      </c>
      <c r="D355" s="63">
        <v>56</v>
      </c>
      <c r="E355" s="66">
        <v>800</v>
      </c>
      <c r="F355" s="65">
        <f t="shared" ca="1" si="13"/>
        <v>44800</v>
      </c>
      <c r="G355" s="5"/>
      <c r="H355" s="5"/>
      <c r="I355" s="5"/>
      <c r="J355" s="5"/>
    </row>
    <row r="356" spans="1:10" ht="13.5" customHeight="1" x14ac:dyDescent="0.2">
      <c r="A356" s="78">
        <v>47121804</v>
      </c>
      <c r="B356" s="64" t="str">
        <f t="shared" ca="1" si="12"/>
        <v>Baldes para limpieza</v>
      </c>
      <c r="C356" s="63" t="s">
        <v>1449</v>
      </c>
      <c r="D356" s="63">
        <v>12</v>
      </c>
      <c r="E356" s="66">
        <v>200</v>
      </c>
      <c r="F356" s="65">
        <f t="shared" ca="1" si="13"/>
        <v>2400</v>
      </c>
      <c r="G356" s="5"/>
      <c r="H356" s="5"/>
      <c r="I356" s="5"/>
      <c r="J356" s="5"/>
    </row>
    <row r="357" spans="1:10" ht="13.5" customHeight="1" x14ac:dyDescent="0.2">
      <c r="A357" s="78">
        <v>47131612</v>
      </c>
      <c r="B357" s="64" t="str">
        <f t="shared" ca="1" si="12"/>
        <v>Cauchos de repuesto</v>
      </c>
      <c r="C357" s="63" t="s">
        <v>4735</v>
      </c>
      <c r="D357" s="63">
        <v>12</v>
      </c>
      <c r="E357" s="66">
        <v>200</v>
      </c>
      <c r="F357" s="65">
        <f t="shared" ca="1" si="13"/>
        <v>2400</v>
      </c>
      <c r="G357" s="5"/>
      <c r="H357" s="5"/>
      <c r="I357" s="5"/>
      <c r="J357" s="5"/>
    </row>
    <row r="358" spans="1:10" ht="13.5" customHeight="1" x14ac:dyDescent="0.2">
      <c r="A358" s="78">
        <v>47132102</v>
      </c>
      <c r="B358" s="64" t="str">
        <f t="shared" ca="1" si="12"/>
        <v>Kits de limpieza para uso general</v>
      </c>
      <c r="C358" s="63" t="s">
        <v>1449</v>
      </c>
      <c r="D358" s="63">
        <v>12</v>
      </c>
      <c r="E358" s="66">
        <v>2000</v>
      </c>
      <c r="F358" s="65">
        <f t="shared" ca="1" si="13"/>
        <v>24000</v>
      </c>
      <c r="G358" s="5"/>
      <c r="H358" s="5"/>
      <c r="I358" s="5"/>
      <c r="J358" s="5"/>
    </row>
    <row r="359" spans="1:10" ht="13.5" customHeight="1" x14ac:dyDescent="0.2">
      <c r="A359" s="78">
        <v>14111704</v>
      </c>
      <c r="B359" s="64" t="str">
        <f t="shared" ca="1" si="12"/>
        <v>Papel higiénico</v>
      </c>
      <c r="C359" s="63" t="s">
        <v>4735</v>
      </c>
      <c r="D359" s="63">
        <v>40</v>
      </c>
      <c r="E359" s="66">
        <v>500</v>
      </c>
      <c r="F359" s="65">
        <f t="shared" ca="1" si="13"/>
        <v>20000</v>
      </c>
      <c r="G359" s="5"/>
      <c r="H359" s="5"/>
      <c r="I359" s="5"/>
      <c r="J359" s="5"/>
    </row>
    <row r="360" spans="1:10" ht="13.5" customHeight="1" x14ac:dyDescent="0.2">
      <c r="A360" s="78">
        <v>14111705</v>
      </c>
      <c r="B360" s="64" t="str">
        <f t="shared" ca="1" si="12"/>
        <v>Servilletas de papel</v>
      </c>
      <c r="C360" s="63" t="s">
        <v>4735</v>
      </c>
      <c r="D360" s="63">
        <v>40</v>
      </c>
      <c r="E360" s="66">
        <v>300</v>
      </c>
      <c r="F360" s="65">
        <f t="shared" ca="1" si="13"/>
        <v>12000</v>
      </c>
      <c r="G360" s="5"/>
      <c r="H360" s="5"/>
      <c r="I360" s="5"/>
      <c r="J360" s="5"/>
    </row>
    <row r="361" spans="1:10" ht="14.1" customHeight="1" x14ac:dyDescent="0.2">
      <c r="A361" s="5"/>
      <c r="B361" s="5"/>
      <c r="C361" s="5"/>
      <c r="D361" s="5"/>
      <c r="E361" s="68" t="s">
        <v>12550</v>
      </c>
      <c r="F361" s="69">
        <f ca="1">SUM(Table330[MONTO TOTAL ESTIMADO])</f>
        <v>250000</v>
      </c>
      <c r="G361" s="5"/>
      <c r="H361" s="5" t="str">
        <f>C335</f>
        <v>Bienes</v>
      </c>
      <c r="I361" s="5" t="str">
        <f>E335</f>
        <v>Sí</v>
      </c>
      <c r="J361" s="5" t="str">
        <f>D335</f>
        <v>Compras Menores</v>
      </c>
    </row>
    <row r="362" spans="1:10" ht="14.1" customHeight="1" thickBot="1" x14ac:dyDescent="0.3"/>
    <row r="363" spans="1:10" ht="33.75" customHeight="1" thickBot="1" x14ac:dyDescent="0.25">
      <c r="A363" s="59" t="s">
        <v>16382</v>
      </c>
      <c r="B363" s="59" t="s">
        <v>161</v>
      </c>
      <c r="C363" s="59" t="s">
        <v>11724</v>
      </c>
      <c r="D363" s="59" t="s">
        <v>14378</v>
      </c>
      <c r="E363" s="59" t="s">
        <v>10962</v>
      </c>
      <c r="F363" s="59" t="s">
        <v>11095</v>
      </c>
      <c r="G363" s="5"/>
      <c r="H363" s="5"/>
      <c r="I363" s="5"/>
      <c r="J363" s="5"/>
    </row>
    <row r="364" spans="1:10" ht="13.5" customHeight="1" thickBot="1" x14ac:dyDescent="0.25">
      <c r="A364" s="77" t="s">
        <v>18842</v>
      </c>
      <c r="B364" s="77" t="s">
        <v>18843</v>
      </c>
      <c r="C364" s="61" t="s">
        <v>17797</v>
      </c>
      <c r="D364" s="61" t="s">
        <v>17482</v>
      </c>
      <c r="E364" s="61" t="s">
        <v>8854</v>
      </c>
      <c r="F364" s="61"/>
      <c r="G364" s="5"/>
      <c r="H364" s="5"/>
      <c r="I364" s="5"/>
      <c r="J364" s="5"/>
    </row>
    <row r="365" spans="1:10" ht="14.1" customHeight="1" thickBot="1" x14ac:dyDescent="0.25">
      <c r="A365" s="82" t="s">
        <v>14828</v>
      </c>
      <c r="B365" s="62" t="s">
        <v>8528</v>
      </c>
      <c r="C365" s="71">
        <v>44105</v>
      </c>
      <c r="D365" s="82" t="s">
        <v>9385</v>
      </c>
      <c r="E365" s="62" t="s">
        <v>13093</v>
      </c>
      <c r="F365" s="61" t="s">
        <v>3080</v>
      </c>
      <c r="G365" s="5"/>
      <c r="H365" s="5"/>
      <c r="I365" s="5"/>
      <c r="J365" s="5"/>
    </row>
    <row r="366" spans="1:10" ht="14.1" customHeight="1" thickBot="1" x14ac:dyDescent="0.25">
      <c r="A366" s="83"/>
      <c r="B366" s="62" t="s">
        <v>1786</v>
      </c>
      <c r="C366" s="60">
        <f>IF(C365="","",IF(AND(MONTH(C365)&gt;=1,MONTH(C365)&lt;=3),1,IF(AND(MONTH(C365)&gt;=4,MONTH(C365)&lt;=6),2,IF(AND(MONTH(C365)&gt;=7,MONTH(C365)&lt;=9),3,4))))</f>
        <v>4</v>
      </c>
      <c r="D366" s="83"/>
      <c r="E366" s="62" t="s">
        <v>2417</v>
      </c>
      <c r="F366" s="61" t="s">
        <v>11112</v>
      </c>
      <c r="G366" s="5"/>
      <c r="H366" s="5"/>
      <c r="I366" s="5"/>
      <c r="J366" s="5"/>
    </row>
    <row r="367" spans="1:10" ht="14.1" customHeight="1" thickBot="1" x14ac:dyDescent="0.25">
      <c r="A367" s="83"/>
      <c r="B367" s="62" t="s">
        <v>12942</v>
      </c>
      <c r="C367" s="71">
        <v>44196</v>
      </c>
      <c r="D367" s="83"/>
      <c r="E367" s="62" t="s">
        <v>3073</v>
      </c>
      <c r="F367" s="61" t="s">
        <v>11112</v>
      </c>
      <c r="G367" s="5"/>
      <c r="H367" s="5"/>
      <c r="I367" s="5"/>
      <c r="J367" s="5"/>
    </row>
    <row r="368" spans="1:10" ht="14.1" customHeight="1" thickBot="1" x14ac:dyDescent="0.25">
      <c r="A368" s="83"/>
      <c r="B368" s="62" t="s">
        <v>1786</v>
      </c>
      <c r="C368" s="60">
        <f>IF(C367="","",IF(AND(MONTH(C367)&gt;=1,MONTH(C367)&lt;=3),1,IF(AND(MONTH(C367)&gt;=4,MONTH(C367)&lt;=6),2,IF(AND(MONTH(C367)&gt;=7,MONTH(C367)&lt;=9),3,4))))</f>
        <v>4</v>
      </c>
      <c r="D368" s="83"/>
      <c r="E368" s="62" t="s">
        <v>13192</v>
      </c>
      <c r="F368" s="61" t="s">
        <v>11112</v>
      </c>
      <c r="G368" s="5"/>
      <c r="H368" s="5"/>
      <c r="I368" s="5"/>
      <c r="J368" s="5"/>
    </row>
    <row r="369" spans="1:10" ht="14.1" customHeight="1" thickBot="1" x14ac:dyDescent="0.25">
      <c r="A369" s="5"/>
      <c r="B369" s="5"/>
      <c r="C369" s="5"/>
      <c r="D369" s="5"/>
      <c r="E369" s="5"/>
      <c r="F369" s="5"/>
      <c r="G369" s="5"/>
      <c r="H369" s="5"/>
      <c r="I369" s="5"/>
      <c r="J369" s="5"/>
    </row>
    <row r="370" spans="1:10" ht="14.1" customHeight="1" thickBot="1" x14ac:dyDescent="0.25">
      <c r="A370" s="67" t="s">
        <v>15735</v>
      </c>
      <c r="B370" s="67" t="s">
        <v>16146</v>
      </c>
      <c r="C370" s="67" t="s">
        <v>15641</v>
      </c>
      <c r="D370" s="67" t="s">
        <v>15251</v>
      </c>
      <c r="E370" s="67" t="s">
        <v>6932</v>
      </c>
      <c r="F370" s="67" t="s">
        <v>15280</v>
      </c>
      <c r="G370" s="5"/>
      <c r="H370" s="5"/>
      <c r="I370" s="5"/>
      <c r="J370" s="5"/>
    </row>
    <row r="371" spans="1:10" ht="13.5" customHeight="1" x14ac:dyDescent="0.2">
      <c r="A371" s="78">
        <v>47131603</v>
      </c>
      <c r="B371" s="64" t="str">
        <f t="shared" ref="B371:B384" ca="1" si="14">IFERROR(INDEX(UNSPSCDes,MATCH(INDIRECT(ADDRESS(ROW(),COLUMN()-1,4)),UNSPSCCode,0)),"")</f>
        <v>Esponjas</v>
      </c>
      <c r="C371" s="63" t="s">
        <v>1449</v>
      </c>
      <c r="D371" s="63">
        <v>21</v>
      </c>
      <c r="E371" s="66">
        <v>100</v>
      </c>
      <c r="F371" s="65">
        <f t="shared" ref="F371:F384" ca="1" si="15">INDIRECT(ADDRESS(ROW(),COLUMN()-2,4))*INDIRECT(ADDRESS(ROW(),COLUMN()-1,4))</f>
        <v>2100</v>
      </c>
      <c r="G371" s="5"/>
      <c r="H371" s="5"/>
      <c r="I371" s="5"/>
      <c r="J371" s="5"/>
    </row>
    <row r="372" spans="1:10" ht="13.5" customHeight="1" x14ac:dyDescent="0.2">
      <c r="A372" s="78">
        <v>47131909</v>
      </c>
      <c r="B372" s="64" t="str">
        <f t="shared" ca="1" si="14"/>
        <v>Almohadillas o rollos absorbentes</v>
      </c>
      <c r="C372" s="63" t="s">
        <v>1449</v>
      </c>
      <c r="D372" s="63">
        <v>66</v>
      </c>
      <c r="E372" s="66">
        <v>400</v>
      </c>
      <c r="F372" s="65">
        <f t="shared" ca="1" si="15"/>
        <v>26400</v>
      </c>
      <c r="G372" s="5"/>
      <c r="H372" s="5"/>
      <c r="I372" s="5"/>
      <c r="J372" s="5"/>
    </row>
    <row r="373" spans="1:10" ht="13.5" customHeight="1" x14ac:dyDescent="0.2">
      <c r="A373" s="78">
        <v>47131830</v>
      </c>
      <c r="B373" s="64" t="str">
        <f t="shared" ca="1" si="14"/>
        <v>Limpiadores de muebles</v>
      </c>
      <c r="C373" s="63" t="s">
        <v>1449</v>
      </c>
      <c r="D373" s="63">
        <v>54</v>
      </c>
      <c r="E373" s="66">
        <v>300</v>
      </c>
      <c r="F373" s="65">
        <f t="shared" ca="1" si="15"/>
        <v>16200</v>
      </c>
      <c r="G373" s="5"/>
      <c r="H373" s="5"/>
      <c r="I373" s="5"/>
      <c r="J373" s="5"/>
    </row>
    <row r="374" spans="1:10" ht="13.5" customHeight="1" x14ac:dyDescent="0.2">
      <c r="A374" s="78">
        <v>47131824</v>
      </c>
      <c r="B374" s="64" t="str">
        <f t="shared" ca="1" si="14"/>
        <v>Limpiadores de vidrio o ventanas</v>
      </c>
      <c r="C374" s="63" t="s">
        <v>1449</v>
      </c>
      <c r="D374" s="63">
        <v>63</v>
      </c>
      <c r="E374" s="66">
        <v>400</v>
      </c>
      <c r="F374" s="65">
        <f t="shared" ca="1" si="15"/>
        <v>25200</v>
      </c>
      <c r="G374" s="5"/>
      <c r="H374" s="5"/>
      <c r="I374" s="5"/>
      <c r="J374" s="5"/>
    </row>
    <row r="375" spans="1:10" ht="13.5" customHeight="1" x14ac:dyDescent="0.2">
      <c r="A375" s="78">
        <v>47131810</v>
      </c>
      <c r="B375" s="64" t="str">
        <f t="shared" ca="1" si="14"/>
        <v>Productos para el lavaplatos</v>
      </c>
      <c r="C375" s="63" t="s">
        <v>9559</v>
      </c>
      <c r="D375" s="63">
        <v>54</v>
      </c>
      <c r="E375" s="66">
        <v>200</v>
      </c>
      <c r="F375" s="65">
        <f t="shared" ca="1" si="15"/>
        <v>10800</v>
      </c>
      <c r="G375" s="5"/>
      <c r="H375" s="5"/>
      <c r="I375" s="5"/>
      <c r="J375" s="5"/>
    </row>
    <row r="376" spans="1:10" ht="13.5" customHeight="1" x14ac:dyDescent="0.2">
      <c r="A376" s="78">
        <v>47131807</v>
      </c>
      <c r="B376" s="64" t="str">
        <f t="shared" ca="1" si="14"/>
        <v>Blanqueadores</v>
      </c>
      <c r="C376" s="63" t="s">
        <v>9559</v>
      </c>
      <c r="D376" s="63">
        <v>50</v>
      </c>
      <c r="E376" s="66">
        <v>200</v>
      </c>
      <c r="F376" s="65">
        <f t="shared" ca="1" si="15"/>
        <v>10000</v>
      </c>
      <c r="G376" s="5"/>
      <c r="H376" s="5"/>
      <c r="I376" s="5"/>
      <c r="J376" s="5"/>
    </row>
    <row r="377" spans="1:10" ht="13.5" customHeight="1" x14ac:dyDescent="0.2">
      <c r="A377" s="78">
        <v>47131803</v>
      </c>
      <c r="B377" s="64" t="str">
        <f t="shared" ca="1" si="14"/>
        <v>Desinfectantes para uso doméstico</v>
      </c>
      <c r="C377" s="63" t="s">
        <v>9559</v>
      </c>
      <c r="D377" s="63">
        <v>50</v>
      </c>
      <c r="E377" s="66">
        <v>300</v>
      </c>
      <c r="F377" s="65">
        <f t="shared" ca="1" si="15"/>
        <v>15000</v>
      </c>
      <c r="G377" s="5"/>
      <c r="H377" s="5"/>
      <c r="I377" s="5"/>
      <c r="J377" s="5"/>
    </row>
    <row r="378" spans="1:10" ht="13.5" customHeight="1" x14ac:dyDescent="0.2">
      <c r="A378" s="78">
        <v>47131706</v>
      </c>
      <c r="B378" s="64" t="str">
        <f t="shared" ca="1" si="14"/>
        <v>Dispensadores de ambientadores</v>
      </c>
      <c r="C378" s="63" t="s">
        <v>1449</v>
      </c>
      <c r="D378" s="63">
        <v>50</v>
      </c>
      <c r="E378" s="66">
        <v>500</v>
      </c>
      <c r="F378" s="65">
        <f t="shared" ca="1" si="15"/>
        <v>25000</v>
      </c>
      <c r="G378" s="5"/>
      <c r="H378" s="5"/>
      <c r="I378" s="5"/>
      <c r="J378" s="5"/>
    </row>
    <row r="379" spans="1:10" ht="13.5" customHeight="1" x14ac:dyDescent="0.2">
      <c r="A379" s="78">
        <v>47131818</v>
      </c>
      <c r="B379" s="64" t="str">
        <f t="shared" ca="1" si="14"/>
        <v>Antiséptico de aire</v>
      </c>
      <c r="C379" s="63" t="s">
        <v>1449</v>
      </c>
      <c r="D379" s="63">
        <v>50</v>
      </c>
      <c r="E379" s="66">
        <v>350</v>
      </c>
      <c r="F379" s="65">
        <f t="shared" ca="1" si="15"/>
        <v>17500</v>
      </c>
      <c r="G379" s="5"/>
      <c r="H379" s="5"/>
      <c r="I379" s="5"/>
      <c r="J379" s="5"/>
    </row>
    <row r="380" spans="1:10" ht="13.5" customHeight="1" x14ac:dyDescent="0.2">
      <c r="A380" s="78">
        <v>47131502</v>
      </c>
      <c r="B380" s="64" t="str">
        <f t="shared" ca="1" si="14"/>
        <v>Pañitos o toallas para limpiar</v>
      </c>
      <c r="C380" s="63" t="s">
        <v>4735</v>
      </c>
      <c r="D380" s="63">
        <v>39</v>
      </c>
      <c r="E380" s="66">
        <v>200</v>
      </c>
      <c r="F380" s="65">
        <f t="shared" ca="1" si="15"/>
        <v>7800</v>
      </c>
      <c r="G380" s="5"/>
      <c r="H380" s="5"/>
      <c r="I380" s="5"/>
      <c r="J380" s="5"/>
    </row>
    <row r="381" spans="1:10" ht="13.5" customHeight="1" x14ac:dyDescent="0.2">
      <c r="A381" s="78">
        <v>47121701</v>
      </c>
      <c r="B381" s="64" t="str">
        <f t="shared" ca="1" si="14"/>
        <v>Bolsas de basura</v>
      </c>
      <c r="C381" s="63" t="s">
        <v>4735</v>
      </c>
      <c r="D381" s="63">
        <v>50</v>
      </c>
      <c r="E381" s="66">
        <v>800</v>
      </c>
      <c r="F381" s="65">
        <f t="shared" ca="1" si="15"/>
        <v>40000</v>
      </c>
      <c r="G381" s="5"/>
      <c r="H381" s="5"/>
      <c r="I381" s="5"/>
      <c r="J381" s="5"/>
    </row>
    <row r="382" spans="1:10" ht="13.5" customHeight="1" x14ac:dyDescent="0.2">
      <c r="A382" s="78">
        <v>47132102</v>
      </c>
      <c r="B382" s="64" t="str">
        <f t="shared" ca="1" si="14"/>
        <v>Kits de limpieza para uso general</v>
      </c>
      <c r="C382" s="63" t="s">
        <v>1449</v>
      </c>
      <c r="D382" s="63">
        <v>11</v>
      </c>
      <c r="E382" s="66">
        <v>2000</v>
      </c>
      <c r="F382" s="65">
        <f t="shared" ca="1" si="15"/>
        <v>22000</v>
      </c>
      <c r="G382" s="5"/>
      <c r="H382" s="5"/>
      <c r="I382" s="5"/>
      <c r="J382" s="5"/>
    </row>
    <row r="383" spans="1:10" ht="13.5" customHeight="1" x14ac:dyDescent="0.2">
      <c r="A383" s="78">
        <v>14111704</v>
      </c>
      <c r="B383" s="64" t="str">
        <f t="shared" ca="1" si="14"/>
        <v>Papel higiénico</v>
      </c>
      <c r="C383" s="63" t="s">
        <v>4735</v>
      </c>
      <c r="D383" s="63">
        <v>40</v>
      </c>
      <c r="E383" s="66">
        <v>500</v>
      </c>
      <c r="F383" s="65">
        <f t="shared" ca="1" si="15"/>
        <v>20000</v>
      </c>
      <c r="G383" s="5"/>
      <c r="H383" s="5"/>
      <c r="I383" s="5"/>
      <c r="J383" s="5"/>
    </row>
    <row r="384" spans="1:10" ht="13.5" customHeight="1" x14ac:dyDescent="0.2">
      <c r="A384" s="78">
        <v>14111705</v>
      </c>
      <c r="B384" s="64" t="str">
        <f t="shared" ca="1" si="14"/>
        <v>Servilletas de papel</v>
      </c>
      <c r="C384" s="63" t="s">
        <v>4735</v>
      </c>
      <c r="D384" s="63">
        <v>40</v>
      </c>
      <c r="E384" s="66">
        <v>300</v>
      </c>
      <c r="F384" s="65">
        <f t="shared" ca="1" si="15"/>
        <v>12000</v>
      </c>
      <c r="G384" s="5"/>
      <c r="H384" s="5"/>
      <c r="I384" s="5"/>
      <c r="J384" s="5"/>
    </row>
    <row r="385" spans="1:10" ht="14.1" customHeight="1" x14ac:dyDescent="0.2">
      <c r="A385" s="5"/>
      <c r="B385" s="5"/>
      <c r="C385" s="5"/>
      <c r="D385" s="5"/>
      <c r="E385" s="68" t="s">
        <v>12550</v>
      </c>
      <c r="F385" s="69">
        <f ca="1">SUM(Table331[MONTO TOTAL ESTIMADO])</f>
        <v>250000</v>
      </c>
      <c r="G385" s="5"/>
      <c r="H385" s="5" t="str">
        <f>C364</f>
        <v>Bienes</v>
      </c>
      <c r="I385" s="5" t="str">
        <f>E364</f>
        <v>Sí</v>
      </c>
      <c r="J385" s="5" t="str">
        <f>D364</f>
        <v>Compras Menores</v>
      </c>
    </row>
    <row r="386" spans="1:10" ht="14.1" customHeight="1" thickBot="1" x14ac:dyDescent="0.3"/>
    <row r="387" spans="1:10" ht="33.75" customHeight="1" thickBot="1" x14ac:dyDescent="0.25">
      <c r="A387" s="59" t="s">
        <v>16382</v>
      </c>
      <c r="B387" s="59" t="s">
        <v>161</v>
      </c>
      <c r="C387" s="59" t="s">
        <v>11724</v>
      </c>
      <c r="D387" s="59" t="s">
        <v>14378</v>
      </c>
      <c r="E387" s="59" t="s">
        <v>10962</v>
      </c>
      <c r="F387" s="59" t="s">
        <v>11095</v>
      </c>
      <c r="G387" s="5"/>
      <c r="H387" s="5"/>
      <c r="I387" s="5"/>
      <c r="J387" s="5"/>
    </row>
    <row r="388" spans="1:10" ht="13.5" customHeight="1" thickBot="1" x14ac:dyDescent="0.25">
      <c r="A388" s="77" t="s">
        <v>18846</v>
      </c>
      <c r="B388" s="77" t="s">
        <v>18844</v>
      </c>
      <c r="C388" s="61" t="s">
        <v>17797</v>
      </c>
      <c r="D388" s="61" t="s">
        <v>17482</v>
      </c>
      <c r="E388" s="61" t="s">
        <v>8854</v>
      </c>
      <c r="F388" s="61"/>
      <c r="G388" s="5"/>
      <c r="H388" s="5"/>
      <c r="I388" s="5"/>
      <c r="J388" s="5"/>
    </row>
    <row r="389" spans="1:10" ht="14.1" customHeight="1" thickBot="1" x14ac:dyDescent="0.25">
      <c r="A389" s="82" t="s">
        <v>14828</v>
      </c>
      <c r="B389" s="62" t="s">
        <v>8528</v>
      </c>
      <c r="C389" s="71">
        <v>43831</v>
      </c>
      <c r="D389" s="82" t="s">
        <v>9385</v>
      </c>
      <c r="E389" s="62" t="s">
        <v>13093</v>
      </c>
      <c r="F389" s="61" t="s">
        <v>3080</v>
      </c>
      <c r="G389" s="5"/>
      <c r="H389" s="5"/>
      <c r="I389" s="5"/>
      <c r="J389" s="5"/>
    </row>
    <row r="390" spans="1:10" ht="14.1" customHeight="1" thickBot="1" x14ac:dyDescent="0.25">
      <c r="A390" s="83"/>
      <c r="B390" s="62" t="s">
        <v>1786</v>
      </c>
      <c r="C390" s="60">
        <f>IF(C389="","",IF(AND(MONTH(C389)&gt;=1,MONTH(C389)&lt;=3),1,IF(AND(MONTH(C389)&gt;=4,MONTH(C389)&lt;=6),2,IF(AND(MONTH(C389)&gt;=7,MONTH(C389)&lt;=9),3,4))))</f>
        <v>1</v>
      </c>
      <c r="D390" s="83"/>
      <c r="E390" s="62" t="s">
        <v>2417</v>
      </c>
      <c r="F390" s="61" t="s">
        <v>11112</v>
      </c>
      <c r="G390" s="5"/>
      <c r="H390" s="5"/>
      <c r="I390" s="5"/>
      <c r="J390" s="5"/>
    </row>
    <row r="391" spans="1:10" ht="14.1" customHeight="1" thickBot="1" x14ac:dyDescent="0.25">
      <c r="A391" s="83"/>
      <c r="B391" s="62" t="s">
        <v>12942</v>
      </c>
      <c r="C391" s="71">
        <v>43921</v>
      </c>
      <c r="D391" s="83"/>
      <c r="E391" s="62" t="s">
        <v>3073</v>
      </c>
      <c r="F391" s="61" t="s">
        <v>11112</v>
      </c>
      <c r="G391" s="5"/>
      <c r="H391" s="5"/>
      <c r="I391" s="5"/>
      <c r="J391" s="5"/>
    </row>
    <row r="392" spans="1:10" ht="14.1" customHeight="1" thickBot="1" x14ac:dyDescent="0.25">
      <c r="A392" s="83"/>
      <c r="B392" s="62" t="s">
        <v>1786</v>
      </c>
      <c r="C392" s="60">
        <f>IF(C391="","",IF(AND(MONTH(C391)&gt;=1,MONTH(C391)&lt;=3),1,IF(AND(MONTH(C391)&gt;=4,MONTH(C391)&lt;=6),2,IF(AND(MONTH(C391)&gt;=7,MONTH(C391)&lt;=9),3,4))))</f>
        <v>1</v>
      </c>
      <c r="D392" s="83"/>
      <c r="E392" s="62" t="s">
        <v>13192</v>
      </c>
      <c r="F392" s="61" t="s">
        <v>11112</v>
      </c>
      <c r="G392" s="5"/>
      <c r="H392" s="5"/>
      <c r="I392" s="5"/>
      <c r="J392" s="5"/>
    </row>
    <row r="393" spans="1:10" ht="14.1" customHeight="1" thickBot="1" x14ac:dyDescent="0.25">
      <c r="A393" s="5"/>
      <c r="B393" s="5"/>
      <c r="C393" s="5"/>
      <c r="D393" s="5"/>
      <c r="E393" s="5"/>
      <c r="F393" s="5"/>
      <c r="G393" s="5"/>
      <c r="H393" s="5"/>
      <c r="I393" s="5"/>
      <c r="J393" s="5"/>
    </row>
    <row r="394" spans="1:10" ht="14.1" customHeight="1" thickBot="1" x14ac:dyDescent="0.25">
      <c r="A394" s="67" t="s">
        <v>15735</v>
      </c>
      <c r="B394" s="67" t="s">
        <v>16146</v>
      </c>
      <c r="C394" s="67" t="s">
        <v>15641</v>
      </c>
      <c r="D394" s="67" t="s">
        <v>15251</v>
      </c>
      <c r="E394" s="67" t="s">
        <v>6932</v>
      </c>
      <c r="F394" s="67" t="s">
        <v>15280</v>
      </c>
      <c r="G394" s="5"/>
      <c r="H394" s="5"/>
      <c r="I394" s="5"/>
      <c r="J394" s="5"/>
    </row>
    <row r="395" spans="1:10" ht="13.5" customHeight="1" x14ac:dyDescent="0.2">
      <c r="A395" s="78">
        <v>44101602</v>
      </c>
      <c r="B395" s="64" t="str">
        <f t="shared" ref="B395:B405" ca="1" si="16">IFERROR(INDEX(UNSPSCDes,MATCH(INDIRECT(ADDRESS(ROW(),COLUMN()-1,4)),UNSPSCCode,0)),"")</f>
        <v>Máquinas perforadoras o para unir papel</v>
      </c>
      <c r="C395" s="63" t="s">
        <v>1449</v>
      </c>
      <c r="D395" s="63">
        <v>4</v>
      </c>
      <c r="E395" s="66">
        <v>500</v>
      </c>
      <c r="F395" s="65">
        <f t="shared" ref="F395:F405" ca="1" si="17">INDIRECT(ADDRESS(ROW(),COLUMN()-2,4))*INDIRECT(ADDRESS(ROW(),COLUMN()-1,4))</f>
        <v>2000</v>
      </c>
      <c r="G395" s="5"/>
      <c r="H395" s="5"/>
      <c r="I395" s="5"/>
      <c r="J395" s="5"/>
    </row>
    <row r="396" spans="1:10" ht="13.5" customHeight="1" x14ac:dyDescent="0.2">
      <c r="A396" s="78">
        <v>44101802</v>
      </c>
      <c r="B396" s="64" t="str">
        <f t="shared" ca="1" si="16"/>
        <v>Máquinas sumadoras</v>
      </c>
      <c r="C396" s="63" t="s">
        <v>1449</v>
      </c>
      <c r="D396" s="63">
        <v>2</v>
      </c>
      <c r="E396" s="66">
        <v>2000</v>
      </c>
      <c r="F396" s="65">
        <f t="shared" ca="1" si="17"/>
        <v>4000</v>
      </c>
      <c r="G396" s="5"/>
      <c r="H396" s="5"/>
      <c r="I396" s="5"/>
      <c r="J396" s="5"/>
    </row>
    <row r="397" spans="1:10" ht="13.5" customHeight="1" x14ac:dyDescent="0.2">
      <c r="A397" s="78">
        <v>44101603</v>
      </c>
      <c r="B397" s="64" t="str">
        <f t="shared" ca="1" si="16"/>
        <v>Máquinas trituradoras de papel o accesorios</v>
      </c>
      <c r="C397" s="63" t="s">
        <v>1449</v>
      </c>
      <c r="D397" s="63">
        <v>1</v>
      </c>
      <c r="E397" s="66">
        <v>3000</v>
      </c>
      <c r="F397" s="65">
        <f t="shared" ca="1" si="17"/>
        <v>3000</v>
      </c>
      <c r="G397" s="5"/>
      <c r="H397" s="5"/>
      <c r="I397" s="5"/>
      <c r="J397" s="5"/>
    </row>
    <row r="398" spans="1:10" ht="13.5" customHeight="1" x14ac:dyDescent="0.2">
      <c r="A398" s="78">
        <v>44103502</v>
      </c>
      <c r="B398" s="64" t="str">
        <f t="shared" ca="1" si="16"/>
        <v>Tapas de encuadernación</v>
      </c>
      <c r="C398" s="63" t="s">
        <v>16988</v>
      </c>
      <c r="D398" s="63">
        <v>5</v>
      </c>
      <c r="E398" s="66">
        <v>500</v>
      </c>
      <c r="F398" s="65">
        <f t="shared" ca="1" si="17"/>
        <v>2500</v>
      </c>
      <c r="G398" s="5"/>
      <c r="H398" s="5"/>
      <c r="I398" s="5"/>
      <c r="J398" s="5"/>
    </row>
    <row r="399" spans="1:10" ht="13.5" customHeight="1" x14ac:dyDescent="0.2">
      <c r="A399" s="78">
        <v>44103504</v>
      </c>
      <c r="B399" s="64" t="str">
        <f t="shared" ca="1" si="16"/>
        <v>Alambres o espirales de encuadernación</v>
      </c>
      <c r="C399" s="63" t="s">
        <v>16988</v>
      </c>
      <c r="D399" s="63">
        <v>4</v>
      </c>
      <c r="E399" s="66">
        <v>500</v>
      </c>
      <c r="F399" s="65">
        <f t="shared" ca="1" si="17"/>
        <v>2000</v>
      </c>
      <c r="G399" s="5"/>
      <c r="H399" s="5"/>
      <c r="I399" s="5"/>
      <c r="J399" s="5"/>
    </row>
    <row r="400" spans="1:10" ht="13.5" customHeight="1" x14ac:dyDescent="0.2">
      <c r="A400" s="78">
        <v>44101805</v>
      </c>
      <c r="B400" s="64" t="str">
        <f t="shared" ca="1" si="16"/>
        <v>Cintas para calculadoras</v>
      </c>
      <c r="C400" s="63" t="s">
        <v>1449</v>
      </c>
      <c r="D400" s="63">
        <v>3</v>
      </c>
      <c r="E400" s="66">
        <v>600</v>
      </c>
      <c r="F400" s="65">
        <f t="shared" ca="1" si="17"/>
        <v>1800</v>
      </c>
      <c r="G400" s="5"/>
      <c r="H400" s="5"/>
      <c r="I400" s="5"/>
      <c r="J400" s="5"/>
    </row>
    <row r="401" spans="1:10" ht="13.5" customHeight="1" x14ac:dyDescent="0.2">
      <c r="A401" s="78">
        <v>44102606</v>
      </c>
      <c r="B401" s="64" t="str">
        <f t="shared" ca="1" si="16"/>
        <v>Cinta de máquinas de escribir</v>
      </c>
      <c r="C401" s="63" t="s">
        <v>1449</v>
      </c>
      <c r="D401" s="63">
        <v>5</v>
      </c>
      <c r="E401" s="66">
        <v>600</v>
      </c>
      <c r="F401" s="65">
        <f t="shared" ca="1" si="17"/>
        <v>3000</v>
      </c>
      <c r="G401" s="5"/>
      <c r="H401" s="5"/>
      <c r="I401" s="5"/>
      <c r="J401" s="5"/>
    </row>
    <row r="402" spans="1:10" ht="13.5" customHeight="1" x14ac:dyDescent="0.2">
      <c r="A402" s="78">
        <v>44103105</v>
      </c>
      <c r="B402" s="64" t="str">
        <f t="shared" ca="1" si="16"/>
        <v>Cartuchos de tinta</v>
      </c>
      <c r="C402" s="63" t="s">
        <v>1449</v>
      </c>
      <c r="D402" s="63">
        <v>18</v>
      </c>
      <c r="E402" s="66">
        <v>3000</v>
      </c>
      <c r="F402" s="65">
        <f t="shared" ca="1" si="17"/>
        <v>54000</v>
      </c>
      <c r="G402" s="5"/>
      <c r="H402" s="5"/>
      <c r="I402" s="5"/>
      <c r="J402" s="5"/>
    </row>
    <row r="403" spans="1:10" ht="13.5" customHeight="1" x14ac:dyDescent="0.2">
      <c r="A403" s="78">
        <v>44103103</v>
      </c>
      <c r="B403" s="64" t="str">
        <f t="shared" ca="1" si="16"/>
        <v>Tóner para impresoras o fax</v>
      </c>
      <c r="C403" s="63" t="s">
        <v>1449</v>
      </c>
      <c r="D403" s="63">
        <v>28</v>
      </c>
      <c r="E403" s="66">
        <v>2000</v>
      </c>
      <c r="F403" s="65">
        <f t="shared" ca="1" si="17"/>
        <v>56000</v>
      </c>
      <c r="G403" s="5"/>
      <c r="H403" s="5"/>
      <c r="I403" s="5"/>
      <c r="J403" s="5"/>
    </row>
    <row r="404" spans="1:10" ht="13.5" customHeight="1" x14ac:dyDescent="0.2">
      <c r="A404" s="78">
        <v>44101501</v>
      </c>
      <c r="B404" s="64" t="str">
        <f t="shared" ca="1" si="16"/>
        <v>Fotocopiadoras</v>
      </c>
      <c r="C404" s="63" t="s">
        <v>1449</v>
      </c>
      <c r="D404" s="63">
        <v>1</v>
      </c>
      <c r="E404" s="66">
        <v>15000</v>
      </c>
      <c r="F404" s="65">
        <f t="shared" ca="1" si="17"/>
        <v>15000</v>
      </c>
      <c r="G404" s="5"/>
      <c r="H404" s="5"/>
      <c r="I404" s="5"/>
      <c r="J404" s="5"/>
    </row>
    <row r="405" spans="1:10" ht="13.5" customHeight="1" x14ac:dyDescent="0.2">
      <c r="A405" s="78">
        <v>44101601</v>
      </c>
      <c r="B405" s="64" t="str">
        <f t="shared" ca="1" si="16"/>
        <v>Máquinas cortadoras de papel o accesorios</v>
      </c>
      <c r="C405" s="63" t="s">
        <v>1449</v>
      </c>
      <c r="D405" s="63">
        <v>1</v>
      </c>
      <c r="E405" s="66">
        <v>6000</v>
      </c>
      <c r="F405" s="65">
        <f t="shared" ca="1" si="17"/>
        <v>6000</v>
      </c>
      <c r="G405" s="5"/>
      <c r="H405" s="5"/>
      <c r="I405" s="5"/>
      <c r="J405" s="5"/>
    </row>
    <row r="406" spans="1:10" ht="14.1" customHeight="1" x14ac:dyDescent="0.2">
      <c r="A406" s="5"/>
      <c r="B406" s="5"/>
      <c r="C406" s="5"/>
      <c r="D406" s="5"/>
      <c r="E406" s="68" t="s">
        <v>12550</v>
      </c>
      <c r="F406" s="69">
        <f ca="1">SUM(Table332[MONTO TOTAL ESTIMADO])</f>
        <v>149300</v>
      </c>
      <c r="G406" s="5"/>
      <c r="H406" s="5" t="str">
        <f>C388</f>
        <v>Bienes</v>
      </c>
      <c r="I406" s="5" t="str">
        <f>E388</f>
        <v>Sí</v>
      </c>
      <c r="J406" s="5" t="str">
        <f>D388</f>
        <v>Compras Menores</v>
      </c>
    </row>
    <row r="407" spans="1:10" ht="14.1" customHeight="1" thickBot="1" x14ac:dyDescent="0.3"/>
    <row r="408" spans="1:10" ht="33.75" customHeight="1" thickBot="1" x14ac:dyDescent="0.25">
      <c r="A408" s="59" t="s">
        <v>16382</v>
      </c>
      <c r="B408" s="59" t="s">
        <v>161</v>
      </c>
      <c r="C408" s="59" t="s">
        <v>11724</v>
      </c>
      <c r="D408" s="59" t="s">
        <v>14378</v>
      </c>
      <c r="E408" s="59" t="s">
        <v>10962</v>
      </c>
      <c r="F408" s="59" t="s">
        <v>11095</v>
      </c>
      <c r="G408" s="5"/>
      <c r="H408" s="5"/>
      <c r="I408" s="5"/>
      <c r="J408" s="5"/>
    </row>
    <row r="409" spans="1:10" ht="13.5" customHeight="1" thickBot="1" x14ac:dyDescent="0.25">
      <c r="A409" s="77" t="s">
        <v>18845</v>
      </c>
      <c r="B409" s="77" t="s">
        <v>18844</v>
      </c>
      <c r="C409" s="61" t="s">
        <v>17797</v>
      </c>
      <c r="D409" s="61" t="s">
        <v>10171</v>
      </c>
      <c r="E409" s="61" t="s">
        <v>8854</v>
      </c>
      <c r="F409" s="61"/>
      <c r="G409" s="5"/>
      <c r="H409" s="5"/>
      <c r="I409" s="5"/>
      <c r="J409" s="5"/>
    </row>
    <row r="410" spans="1:10" ht="14.1" customHeight="1" thickBot="1" x14ac:dyDescent="0.25">
      <c r="A410" s="82" t="s">
        <v>14828</v>
      </c>
      <c r="B410" s="62" t="s">
        <v>8528</v>
      </c>
      <c r="C410" s="71">
        <v>43922</v>
      </c>
      <c r="D410" s="82" t="s">
        <v>9385</v>
      </c>
      <c r="E410" s="62" t="s">
        <v>13093</v>
      </c>
      <c r="F410" s="61" t="s">
        <v>3080</v>
      </c>
      <c r="G410" s="5"/>
      <c r="H410" s="5"/>
      <c r="I410" s="5"/>
      <c r="J410" s="5"/>
    </row>
    <row r="411" spans="1:10" ht="14.1" customHeight="1" thickBot="1" x14ac:dyDescent="0.25">
      <c r="A411" s="83"/>
      <c r="B411" s="62" t="s">
        <v>1786</v>
      </c>
      <c r="C411" s="60">
        <f>IF(C410="","",IF(AND(MONTH(C410)&gt;=1,MONTH(C410)&lt;=3),1,IF(AND(MONTH(C410)&gt;=4,MONTH(C410)&lt;=6),2,IF(AND(MONTH(C410)&gt;=7,MONTH(C410)&lt;=9),3,4))))</f>
        <v>2</v>
      </c>
      <c r="D411" s="83"/>
      <c r="E411" s="62" t="s">
        <v>2417</v>
      </c>
      <c r="F411" s="61" t="s">
        <v>11112</v>
      </c>
      <c r="G411" s="5"/>
      <c r="H411" s="5"/>
      <c r="I411" s="5"/>
      <c r="J411" s="5"/>
    </row>
    <row r="412" spans="1:10" ht="14.1" customHeight="1" thickBot="1" x14ac:dyDescent="0.25">
      <c r="A412" s="83"/>
      <c r="B412" s="62" t="s">
        <v>12942</v>
      </c>
      <c r="C412" s="71">
        <v>44012</v>
      </c>
      <c r="D412" s="83"/>
      <c r="E412" s="62" t="s">
        <v>3073</v>
      </c>
      <c r="F412" s="61" t="s">
        <v>11112</v>
      </c>
      <c r="G412" s="5"/>
      <c r="H412" s="5"/>
      <c r="I412" s="5"/>
      <c r="J412" s="5"/>
    </row>
    <row r="413" spans="1:10" ht="14.1" customHeight="1" thickBot="1" x14ac:dyDescent="0.25">
      <c r="A413" s="83"/>
      <c r="B413" s="62" t="s">
        <v>1786</v>
      </c>
      <c r="C413" s="60">
        <f>IF(C412="","",IF(AND(MONTH(C412)&gt;=1,MONTH(C412)&lt;=3),1,IF(AND(MONTH(C412)&gt;=4,MONTH(C412)&lt;=6),2,IF(AND(MONTH(C412)&gt;=7,MONTH(C412)&lt;=9),3,4))))</f>
        <v>2</v>
      </c>
      <c r="D413" s="83"/>
      <c r="E413" s="62" t="s">
        <v>13192</v>
      </c>
      <c r="F413" s="61" t="s">
        <v>11112</v>
      </c>
      <c r="G413" s="5"/>
      <c r="H413" s="5"/>
      <c r="I413" s="5"/>
      <c r="J413" s="5"/>
    </row>
    <row r="414" spans="1:10" ht="14.1" customHeight="1" thickBot="1" x14ac:dyDescent="0.25">
      <c r="A414" s="5"/>
      <c r="B414" s="5"/>
      <c r="C414" s="5"/>
      <c r="D414" s="5"/>
      <c r="E414" s="5"/>
      <c r="F414" s="5"/>
      <c r="G414" s="5"/>
      <c r="H414" s="5"/>
      <c r="I414" s="5"/>
      <c r="J414" s="5"/>
    </row>
    <row r="415" spans="1:10" ht="14.1" customHeight="1" thickBot="1" x14ac:dyDescent="0.25">
      <c r="A415" s="67" t="s">
        <v>15735</v>
      </c>
      <c r="B415" s="67" t="s">
        <v>16146</v>
      </c>
      <c r="C415" s="67" t="s">
        <v>15641</v>
      </c>
      <c r="D415" s="67" t="s">
        <v>15251</v>
      </c>
      <c r="E415" s="67" t="s">
        <v>6932</v>
      </c>
      <c r="F415" s="67" t="s">
        <v>15280</v>
      </c>
      <c r="G415" s="5"/>
      <c r="H415" s="5"/>
      <c r="I415" s="5"/>
      <c r="J415" s="5"/>
    </row>
    <row r="416" spans="1:10" ht="13.5" customHeight="1" x14ac:dyDescent="0.2">
      <c r="A416" s="78">
        <v>45101508</v>
      </c>
      <c r="B416" s="64" t="str">
        <f t="shared" ref="B416:B422" ca="1" si="18">IFERROR(INDEX(UNSPSCDes,MATCH(INDIRECT(ADDRESS(ROW(),COLUMN()-1,4)),UNSPSCCode,0)),"")</f>
        <v>Máquinas perforadoras</v>
      </c>
      <c r="C416" s="63" t="s">
        <v>1449</v>
      </c>
      <c r="D416" s="63">
        <v>2</v>
      </c>
      <c r="E416" s="66">
        <v>500</v>
      </c>
      <c r="F416" s="65">
        <f t="shared" ref="F416:F422" ca="1" si="19">INDIRECT(ADDRESS(ROW(),COLUMN()-2,4))*INDIRECT(ADDRESS(ROW(),COLUMN()-1,4))</f>
        <v>1000</v>
      </c>
      <c r="G416" s="5"/>
      <c r="H416" s="5"/>
      <c r="I416" s="5"/>
      <c r="J416" s="5"/>
    </row>
    <row r="417" spans="1:10" ht="13.5" customHeight="1" x14ac:dyDescent="0.2">
      <c r="A417" s="78">
        <v>44103502</v>
      </c>
      <c r="B417" s="64" t="str">
        <f t="shared" ca="1" si="18"/>
        <v>Tapas de encuadernación</v>
      </c>
      <c r="C417" s="63" t="s">
        <v>16988</v>
      </c>
      <c r="D417" s="63">
        <v>2</v>
      </c>
      <c r="E417" s="66">
        <v>500</v>
      </c>
      <c r="F417" s="65">
        <f t="shared" ca="1" si="19"/>
        <v>1000</v>
      </c>
      <c r="G417" s="5"/>
      <c r="H417" s="5"/>
      <c r="I417" s="5"/>
      <c r="J417" s="5"/>
    </row>
    <row r="418" spans="1:10" ht="13.5" customHeight="1" x14ac:dyDescent="0.2">
      <c r="A418" s="78">
        <v>44103504</v>
      </c>
      <c r="B418" s="64" t="str">
        <f t="shared" ca="1" si="18"/>
        <v>Alambres o espirales de encuadernación</v>
      </c>
      <c r="C418" s="63" t="s">
        <v>16988</v>
      </c>
      <c r="D418" s="63">
        <v>2</v>
      </c>
      <c r="E418" s="66">
        <v>500</v>
      </c>
      <c r="F418" s="65">
        <f t="shared" ca="1" si="19"/>
        <v>1000</v>
      </c>
      <c r="G418" s="5"/>
      <c r="H418" s="5"/>
      <c r="I418" s="5"/>
      <c r="J418" s="5"/>
    </row>
    <row r="419" spans="1:10" ht="13.5" customHeight="1" x14ac:dyDescent="0.2">
      <c r="A419" s="78">
        <v>44101805</v>
      </c>
      <c r="B419" s="64" t="str">
        <f t="shared" ca="1" si="18"/>
        <v>Cintas para calculadoras</v>
      </c>
      <c r="C419" s="63" t="s">
        <v>1449</v>
      </c>
      <c r="D419" s="63">
        <v>3</v>
      </c>
      <c r="E419" s="66">
        <v>600</v>
      </c>
      <c r="F419" s="65">
        <f t="shared" ca="1" si="19"/>
        <v>1800</v>
      </c>
      <c r="G419" s="5"/>
      <c r="H419" s="5"/>
      <c r="I419" s="5"/>
      <c r="J419" s="5"/>
    </row>
    <row r="420" spans="1:10" ht="13.5" customHeight="1" x14ac:dyDescent="0.2">
      <c r="A420" s="78">
        <v>44102606</v>
      </c>
      <c r="B420" s="64" t="str">
        <f t="shared" ca="1" si="18"/>
        <v>Cinta de máquinas de escribir</v>
      </c>
      <c r="C420" s="63" t="s">
        <v>1449</v>
      </c>
      <c r="D420" s="63">
        <v>2</v>
      </c>
      <c r="E420" s="66">
        <v>600</v>
      </c>
      <c r="F420" s="65">
        <f t="shared" ca="1" si="19"/>
        <v>1200</v>
      </c>
      <c r="G420" s="5"/>
      <c r="H420" s="5"/>
      <c r="I420" s="5"/>
      <c r="J420" s="5"/>
    </row>
    <row r="421" spans="1:10" ht="13.5" customHeight="1" x14ac:dyDescent="0.2">
      <c r="A421" s="78">
        <v>44103105</v>
      </c>
      <c r="B421" s="64" t="str">
        <f t="shared" ca="1" si="18"/>
        <v>Cartuchos de tinta</v>
      </c>
      <c r="C421" s="63" t="s">
        <v>1449</v>
      </c>
      <c r="D421" s="63">
        <v>19</v>
      </c>
      <c r="E421" s="66">
        <v>3000</v>
      </c>
      <c r="F421" s="65">
        <f t="shared" ca="1" si="19"/>
        <v>57000</v>
      </c>
      <c r="G421" s="5"/>
      <c r="H421" s="5"/>
      <c r="I421" s="5"/>
      <c r="J421" s="5"/>
    </row>
    <row r="422" spans="1:10" ht="13.5" customHeight="1" x14ac:dyDescent="0.2">
      <c r="A422" s="78">
        <v>44103103</v>
      </c>
      <c r="B422" s="64" t="str">
        <f t="shared" ca="1" si="18"/>
        <v>Tóner para impresoras o fax</v>
      </c>
      <c r="C422" s="63" t="s">
        <v>1449</v>
      </c>
      <c r="D422" s="63">
        <v>19</v>
      </c>
      <c r="E422" s="66">
        <v>2000</v>
      </c>
      <c r="F422" s="65">
        <f t="shared" ca="1" si="19"/>
        <v>38000</v>
      </c>
      <c r="G422" s="5"/>
      <c r="H422" s="5"/>
      <c r="I422" s="5"/>
      <c r="J422" s="5"/>
    </row>
    <row r="423" spans="1:10" ht="14.1" customHeight="1" x14ac:dyDescent="0.2">
      <c r="A423" s="5"/>
      <c r="B423" s="5"/>
      <c r="C423" s="5"/>
      <c r="D423" s="5"/>
      <c r="E423" s="68" t="s">
        <v>12550</v>
      </c>
      <c r="F423" s="69">
        <f ca="1">SUM(Table333[MONTO TOTAL ESTIMADO])</f>
        <v>101000</v>
      </c>
      <c r="G423" s="5"/>
      <c r="H423" s="5" t="str">
        <f>C409</f>
        <v>Bienes</v>
      </c>
      <c r="I423" s="5" t="str">
        <f>E409</f>
        <v>Sí</v>
      </c>
      <c r="J423" s="5" t="str">
        <f>D409</f>
        <v>Compras por debajo del Umbral</v>
      </c>
    </row>
    <row r="424" spans="1:10" ht="14.1" customHeight="1" thickBot="1" x14ac:dyDescent="0.3"/>
    <row r="425" spans="1:10" ht="33.75" customHeight="1" thickBot="1" x14ac:dyDescent="0.25">
      <c r="A425" s="59" t="s">
        <v>16382</v>
      </c>
      <c r="B425" s="59" t="s">
        <v>161</v>
      </c>
      <c r="C425" s="59" t="s">
        <v>11724</v>
      </c>
      <c r="D425" s="59" t="s">
        <v>14378</v>
      </c>
      <c r="E425" s="59" t="s">
        <v>10962</v>
      </c>
      <c r="F425" s="59" t="s">
        <v>11095</v>
      </c>
      <c r="G425" s="5"/>
      <c r="H425" s="5"/>
      <c r="I425" s="5"/>
      <c r="J425" s="5"/>
    </row>
    <row r="426" spans="1:10" ht="13.5" customHeight="1" thickBot="1" x14ac:dyDescent="0.25">
      <c r="A426" s="77" t="s">
        <v>18845</v>
      </c>
      <c r="B426" s="77" t="s">
        <v>18844</v>
      </c>
      <c r="C426" s="61" t="s">
        <v>17797</v>
      </c>
      <c r="D426" s="61" t="s">
        <v>10171</v>
      </c>
      <c r="E426" s="61" t="s">
        <v>8854</v>
      </c>
      <c r="F426" s="61"/>
      <c r="G426" s="5"/>
      <c r="H426" s="5"/>
      <c r="I426" s="5"/>
      <c r="J426" s="5"/>
    </row>
    <row r="427" spans="1:10" ht="14.1" customHeight="1" thickBot="1" x14ac:dyDescent="0.25">
      <c r="A427" s="82" t="s">
        <v>14828</v>
      </c>
      <c r="B427" s="62" t="s">
        <v>8528</v>
      </c>
      <c r="C427" s="71">
        <v>44013</v>
      </c>
      <c r="D427" s="82" t="s">
        <v>9385</v>
      </c>
      <c r="E427" s="62" t="s">
        <v>13093</v>
      </c>
      <c r="F427" s="61" t="s">
        <v>3080</v>
      </c>
      <c r="G427" s="5"/>
      <c r="H427" s="5"/>
      <c r="I427" s="5"/>
      <c r="J427" s="5"/>
    </row>
    <row r="428" spans="1:10" ht="14.1" customHeight="1" thickBot="1" x14ac:dyDescent="0.25">
      <c r="A428" s="83"/>
      <c r="B428" s="62" t="s">
        <v>1786</v>
      </c>
      <c r="C428" s="60">
        <f>IF(C427="","",IF(AND(MONTH(C427)&gt;=1,MONTH(C427)&lt;=3),1,IF(AND(MONTH(C427)&gt;=4,MONTH(C427)&lt;=6),2,IF(AND(MONTH(C427)&gt;=7,MONTH(C427)&lt;=9),3,4))))</f>
        <v>3</v>
      </c>
      <c r="D428" s="83"/>
      <c r="E428" s="62" t="s">
        <v>2417</v>
      </c>
      <c r="F428" s="61" t="s">
        <v>11112</v>
      </c>
      <c r="G428" s="5"/>
      <c r="H428" s="5"/>
      <c r="I428" s="5"/>
      <c r="J428" s="5"/>
    </row>
    <row r="429" spans="1:10" ht="14.1" customHeight="1" thickBot="1" x14ac:dyDescent="0.25">
      <c r="A429" s="83"/>
      <c r="B429" s="62" t="s">
        <v>12942</v>
      </c>
      <c r="C429" s="71">
        <v>44104</v>
      </c>
      <c r="D429" s="83"/>
      <c r="E429" s="62" t="s">
        <v>3073</v>
      </c>
      <c r="F429" s="61" t="s">
        <v>11112</v>
      </c>
      <c r="G429" s="5"/>
      <c r="H429" s="5"/>
      <c r="I429" s="5"/>
      <c r="J429" s="5"/>
    </row>
    <row r="430" spans="1:10" ht="14.1" customHeight="1" thickBot="1" x14ac:dyDescent="0.25">
      <c r="A430" s="83"/>
      <c r="B430" s="62" t="s">
        <v>1786</v>
      </c>
      <c r="C430" s="60">
        <f>IF(C429="","",IF(AND(MONTH(C429)&gt;=1,MONTH(C429)&lt;=3),1,IF(AND(MONTH(C429)&gt;=4,MONTH(C429)&lt;=6),2,IF(AND(MONTH(C429)&gt;=7,MONTH(C429)&lt;=9),3,4))))</f>
        <v>3</v>
      </c>
      <c r="D430" s="83"/>
      <c r="E430" s="62" t="s">
        <v>13192</v>
      </c>
      <c r="F430" s="61" t="s">
        <v>11112</v>
      </c>
      <c r="G430" s="5"/>
      <c r="H430" s="5"/>
      <c r="I430" s="5"/>
      <c r="J430" s="5"/>
    </row>
    <row r="431" spans="1:10" ht="14.1" customHeight="1" thickBot="1" x14ac:dyDescent="0.25">
      <c r="A431" s="5"/>
      <c r="B431" s="5"/>
      <c r="C431" s="5"/>
      <c r="D431" s="5"/>
      <c r="E431" s="5"/>
      <c r="F431" s="5"/>
      <c r="G431" s="5"/>
      <c r="H431" s="5"/>
      <c r="I431" s="5"/>
      <c r="J431" s="5"/>
    </row>
    <row r="432" spans="1:10" ht="14.1" customHeight="1" thickBot="1" x14ac:dyDescent="0.25">
      <c r="A432" s="67" t="s">
        <v>15735</v>
      </c>
      <c r="B432" s="67" t="s">
        <v>16146</v>
      </c>
      <c r="C432" s="67" t="s">
        <v>15641</v>
      </c>
      <c r="D432" s="67" t="s">
        <v>15251</v>
      </c>
      <c r="E432" s="67" t="s">
        <v>6932</v>
      </c>
      <c r="F432" s="67" t="s">
        <v>15280</v>
      </c>
      <c r="G432" s="5"/>
      <c r="H432" s="5"/>
      <c r="I432" s="5"/>
      <c r="J432" s="5"/>
    </row>
    <row r="433" spans="1:10" ht="13.5" customHeight="1" x14ac:dyDescent="0.2">
      <c r="A433" s="78">
        <v>44101602</v>
      </c>
      <c r="B433" s="64" t="str">
        <f t="shared" ref="B433:B439" ca="1" si="20">IFERROR(INDEX(UNSPSCDes,MATCH(INDIRECT(ADDRESS(ROW(),COLUMN()-1,4)),UNSPSCCode,0)),"")</f>
        <v>Máquinas perforadoras o para unir papel</v>
      </c>
      <c r="C433" s="63" t="s">
        <v>1449</v>
      </c>
      <c r="D433" s="63">
        <v>3</v>
      </c>
      <c r="E433" s="66">
        <v>500</v>
      </c>
      <c r="F433" s="65">
        <f t="shared" ref="F433:F439" ca="1" si="21">INDIRECT(ADDRESS(ROW(),COLUMN()-2,4))*INDIRECT(ADDRESS(ROW(),COLUMN()-1,4))</f>
        <v>1500</v>
      </c>
      <c r="G433" s="5"/>
      <c r="H433" s="5"/>
      <c r="I433" s="5"/>
      <c r="J433" s="5"/>
    </row>
    <row r="434" spans="1:10" ht="13.5" customHeight="1" x14ac:dyDescent="0.2">
      <c r="A434" s="78">
        <v>44103502</v>
      </c>
      <c r="B434" s="64" t="str">
        <f t="shared" ca="1" si="20"/>
        <v>Tapas de encuadernación</v>
      </c>
      <c r="C434" s="63" t="s">
        <v>16988</v>
      </c>
      <c r="D434" s="63">
        <v>3</v>
      </c>
      <c r="E434" s="66">
        <v>500</v>
      </c>
      <c r="F434" s="65">
        <f t="shared" ca="1" si="21"/>
        <v>1500</v>
      </c>
      <c r="G434" s="5"/>
      <c r="H434" s="5"/>
      <c r="I434" s="5"/>
      <c r="J434" s="5"/>
    </row>
    <row r="435" spans="1:10" ht="13.5" customHeight="1" x14ac:dyDescent="0.2">
      <c r="A435" s="78">
        <v>44103504</v>
      </c>
      <c r="B435" s="64" t="str">
        <f t="shared" ca="1" si="20"/>
        <v>Alambres o espirales de encuadernación</v>
      </c>
      <c r="C435" s="63" t="s">
        <v>16988</v>
      </c>
      <c r="D435" s="63">
        <v>2</v>
      </c>
      <c r="E435" s="66">
        <v>500</v>
      </c>
      <c r="F435" s="65">
        <f t="shared" ca="1" si="21"/>
        <v>1000</v>
      </c>
      <c r="G435" s="5"/>
      <c r="H435" s="5"/>
      <c r="I435" s="5"/>
      <c r="J435" s="5"/>
    </row>
    <row r="436" spans="1:10" ht="13.5" customHeight="1" x14ac:dyDescent="0.2">
      <c r="A436" s="78">
        <v>44103105</v>
      </c>
      <c r="B436" s="64" t="str">
        <f t="shared" ca="1" si="20"/>
        <v>Cartuchos de tinta</v>
      </c>
      <c r="C436" s="63" t="s">
        <v>1449</v>
      </c>
      <c r="D436" s="63">
        <v>18</v>
      </c>
      <c r="E436" s="66">
        <v>3000</v>
      </c>
      <c r="F436" s="65">
        <f t="shared" ca="1" si="21"/>
        <v>54000</v>
      </c>
      <c r="G436" s="5"/>
      <c r="H436" s="5"/>
      <c r="I436" s="5"/>
      <c r="J436" s="5"/>
    </row>
    <row r="437" spans="1:10" ht="13.5" customHeight="1" x14ac:dyDescent="0.2">
      <c r="A437" s="78">
        <v>44103103</v>
      </c>
      <c r="B437" s="64" t="str">
        <f t="shared" ca="1" si="20"/>
        <v>Tóner para impresoras o fax</v>
      </c>
      <c r="C437" s="63" t="s">
        <v>1449</v>
      </c>
      <c r="D437" s="63">
        <v>18</v>
      </c>
      <c r="E437" s="66">
        <v>2000</v>
      </c>
      <c r="F437" s="65">
        <f t="shared" ca="1" si="21"/>
        <v>36000</v>
      </c>
      <c r="G437" s="5"/>
      <c r="H437" s="5"/>
      <c r="I437" s="5"/>
      <c r="J437" s="5"/>
    </row>
    <row r="438" spans="1:10" ht="13.5" customHeight="1" x14ac:dyDescent="0.2">
      <c r="A438" s="78">
        <v>44101802</v>
      </c>
      <c r="B438" s="64" t="str">
        <f t="shared" ca="1" si="20"/>
        <v>Máquinas sumadoras</v>
      </c>
      <c r="C438" s="63" t="s">
        <v>1449</v>
      </c>
      <c r="D438" s="63">
        <v>2</v>
      </c>
      <c r="E438" s="66">
        <v>2000</v>
      </c>
      <c r="F438" s="65">
        <f t="shared" ca="1" si="21"/>
        <v>4000</v>
      </c>
      <c r="G438" s="5"/>
      <c r="H438" s="5"/>
      <c r="I438" s="5"/>
      <c r="J438" s="5"/>
    </row>
    <row r="439" spans="1:10" ht="13.5" customHeight="1" x14ac:dyDescent="0.2">
      <c r="A439" s="78">
        <v>44101605</v>
      </c>
      <c r="B439" s="64" t="str">
        <f t="shared" ca="1" si="20"/>
        <v>Máquinas para emparejar papel</v>
      </c>
      <c r="C439" s="63" t="s">
        <v>1449</v>
      </c>
      <c r="D439" s="63">
        <v>1</v>
      </c>
      <c r="E439" s="66">
        <v>6000</v>
      </c>
      <c r="F439" s="65">
        <f t="shared" ca="1" si="21"/>
        <v>6000</v>
      </c>
      <c r="G439" s="5"/>
      <c r="H439" s="5"/>
      <c r="I439" s="5"/>
      <c r="J439" s="5"/>
    </row>
    <row r="440" spans="1:10" ht="14.1" customHeight="1" x14ac:dyDescent="0.2">
      <c r="A440" s="5"/>
      <c r="B440" s="5"/>
      <c r="C440" s="5"/>
      <c r="D440" s="5"/>
      <c r="E440" s="68" t="s">
        <v>12550</v>
      </c>
      <c r="F440" s="69">
        <f ca="1">SUM(Table334[MONTO TOTAL ESTIMADO])</f>
        <v>104000</v>
      </c>
      <c r="G440" s="5"/>
      <c r="H440" s="5" t="str">
        <f>C426</f>
        <v>Bienes</v>
      </c>
      <c r="I440" s="5" t="str">
        <f>E426</f>
        <v>Sí</v>
      </c>
      <c r="J440" s="5" t="str">
        <f>D426</f>
        <v>Compras por debajo del Umbral</v>
      </c>
    </row>
    <row r="441" spans="1:10" ht="14.1" customHeight="1" thickBot="1" x14ac:dyDescent="0.3"/>
    <row r="442" spans="1:10" ht="33.75" customHeight="1" thickBot="1" x14ac:dyDescent="0.25">
      <c r="A442" s="59" t="s">
        <v>16382</v>
      </c>
      <c r="B442" s="59" t="s">
        <v>161</v>
      </c>
      <c r="C442" s="59" t="s">
        <v>11724</v>
      </c>
      <c r="D442" s="59" t="s">
        <v>14378</v>
      </c>
      <c r="E442" s="59" t="s">
        <v>10962</v>
      </c>
      <c r="F442" s="59" t="s">
        <v>11095</v>
      </c>
      <c r="G442" s="5"/>
      <c r="H442" s="5"/>
      <c r="I442" s="5"/>
      <c r="J442" s="5"/>
    </row>
    <row r="443" spans="1:10" ht="13.5" customHeight="1" thickBot="1" x14ac:dyDescent="0.25">
      <c r="A443" s="77" t="s">
        <v>18845</v>
      </c>
      <c r="B443" s="77" t="s">
        <v>18844</v>
      </c>
      <c r="C443" s="61" t="s">
        <v>17797</v>
      </c>
      <c r="D443" s="61" t="s">
        <v>10171</v>
      </c>
      <c r="E443" s="61" t="s">
        <v>8854</v>
      </c>
      <c r="F443" s="61"/>
      <c r="G443" s="5"/>
      <c r="H443" s="5"/>
      <c r="I443" s="5"/>
      <c r="J443" s="5"/>
    </row>
    <row r="444" spans="1:10" ht="14.1" customHeight="1" thickBot="1" x14ac:dyDescent="0.25">
      <c r="A444" s="82" t="s">
        <v>14828</v>
      </c>
      <c r="B444" s="62" t="s">
        <v>8528</v>
      </c>
      <c r="C444" s="71">
        <v>44105</v>
      </c>
      <c r="D444" s="82" t="s">
        <v>9385</v>
      </c>
      <c r="E444" s="62" t="s">
        <v>13093</v>
      </c>
      <c r="F444" s="61" t="s">
        <v>3080</v>
      </c>
      <c r="G444" s="5"/>
      <c r="H444" s="5"/>
      <c r="I444" s="5"/>
      <c r="J444" s="5"/>
    </row>
    <row r="445" spans="1:10" ht="14.1" customHeight="1" thickBot="1" x14ac:dyDescent="0.25">
      <c r="A445" s="83"/>
      <c r="B445" s="62" t="s">
        <v>1786</v>
      </c>
      <c r="C445" s="60">
        <f>IF(C444="","",IF(AND(MONTH(C444)&gt;=1,MONTH(C444)&lt;=3),1,IF(AND(MONTH(C444)&gt;=4,MONTH(C444)&lt;=6),2,IF(AND(MONTH(C444)&gt;=7,MONTH(C444)&lt;=9),3,4))))</f>
        <v>4</v>
      </c>
      <c r="D445" s="83"/>
      <c r="E445" s="62" t="s">
        <v>2417</v>
      </c>
      <c r="F445" s="61" t="s">
        <v>11112</v>
      </c>
      <c r="G445" s="5"/>
      <c r="H445" s="5"/>
      <c r="I445" s="5"/>
      <c r="J445" s="5"/>
    </row>
    <row r="446" spans="1:10" ht="14.1" customHeight="1" thickBot="1" x14ac:dyDescent="0.25">
      <c r="A446" s="83"/>
      <c r="B446" s="62" t="s">
        <v>12942</v>
      </c>
      <c r="C446" s="71">
        <v>44196</v>
      </c>
      <c r="D446" s="83"/>
      <c r="E446" s="62" t="s">
        <v>3073</v>
      </c>
      <c r="F446" s="61" t="s">
        <v>11112</v>
      </c>
      <c r="G446" s="5"/>
      <c r="H446" s="5"/>
      <c r="I446" s="5"/>
      <c r="J446" s="5"/>
    </row>
    <row r="447" spans="1:10" ht="14.1" customHeight="1" thickBot="1" x14ac:dyDescent="0.25">
      <c r="A447" s="83"/>
      <c r="B447" s="62" t="s">
        <v>1786</v>
      </c>
      <c r="C447" s="60">
        <f>IF(C446="","",IF(AND(MONTH(C446)&gt;=1,MONTH(C446)&lt;=3),1,IF(AND(MONTH(C446)&gt;=4,MONTH(C446)&lt;=6),2,IF(AND(MONTH(C446)&gt;=7,MONTH(C446)&lt;=9),3,4))))</f>
        <v>4</v>
      </c>
      <c r="D447" s="83"/>
      <c r="E447" s="62" t="s">
        <v>13192</v>
      </c>
      <c r="F447" s="61" t="s">
        <v>11112</v>
      </c>
      <c r="G447" s="5"/>
      <c r="H447" s="5"/>
      <c r="I447" s="5"/>
      <c r="J447" s="5"/>
    </row>
    <row r="448" spans="1:10" ht="14.1" customHeight="1" thickBot="1" x14ac:dyDescent="0.25">
      <c r="A448" s="5"/>
      <c r="B448" s="5"/>
      <c r="C448" s="5"/>
      <c r="D448" s="5"/>
      <c r="E448" s="5"/>
      <c r="F448" s="5"/>
      <c r="G448" s="5"/>
      <c r="H448" s="5"/>
      <c r="I448" s="5"/>
      <c r="J448" s="5"/>
    </row>
    <row r="449" spans="1:10" ht="14.1" customHeight="1" thickBot="1" x14ac:dyDescent="0.25">
      <c r="A449" s="67" t="s">
        <v>15735</v>
      </c>
      <c r="B449" s="67" t="s">
        <v>16146</v>
      </c>
      <c r="C449" s="67" t="s">
        <v>15641</v>
      </c>
      <c r="D449" s="67" t="s">
        <v>15251</v>
      </c>
      <c r="E449" s="67" t="s">
        <v>6932</v>
      </c>
      <c r="F449" s="67" t="s">
        <v>15280</v>
      </c>
      <c r="G449" s="5"/>
      <c r="H449" s="5"/>
      <c r="I449" s="5"/>
      <c r="J449" s="5"/>
    </row>
    <row r="450" spans="1:10" ht="13.5" customHeight="1" x14ac:dyDescent="0.2">
      <c r="A450" s="57">
        <v>44101602</v>
      </c>
      <c r="B450" s="64" t="str">
        <f ca="1">IFERROR(INDEX(UNSPSCDes,MATCH(INDIRECT(ADDRESS(ROW(),COLUMN()-1,4)),UNSPSCCode,0)),"")</f>
        <v>Máquinas perforadoras o para unir papel</v>
      </c>
      <c r="C450" s="63" t="s">
        <v>1449</v>
      </c>
      <c r="D450" s="63">
        <v>2</v>
      </c>
      <c r="E450" s="66">
        <v>500</v>
      </c>
      <c r="F450" s="65">
        <f ca="1">INDIRECT(ADDRESS(ROW(),COLUMN()-2,4))*INDIRECT(ADDRESS(ROW(),COLUMN()-1,4))</f>
        <v>1000</v>
      </c>
      <c r="G450" s="5"/>
      <c r="H450" s="5"/>
      <c r="I450" s="5"/>
      <c r="J450" s="5"/>
    </row>
    <row r="451" spans="1:10" ht="13.5" customHeight="1" x14ac:dyDescent="0.2">
      <c r="A451" s="78">
        <v>44103502</v>
      </c>
      <c r="B451" s="64" t="str">
        <f ca="1">IFERROR(INDEX(UNSPSCDes,MATCH(INDIRECT(ADDRESS(ROW(),COLUMN()-1,4)),UNSPSCCode,0)),"")</f>
        <v>Tapas de encuadernación</v>
      </c>
      <c r="C451" s="63" t="s">
        <v>16988</v>
      </c>
      <c r="D451" s="63">
        <v>2</v>
      </c>
      <c r="E451" s="66">
        <v>500</v>
      </c>
      <c r="F451" s="65">
        <f ca="1">INDIRECT(ADDRESS(ROW(),COLUMN()-2,4))*INDIRECT(ADDRESS(ROW(),COLUMN()-1,4))</f>
        <v>1000</v>
      </c>
      <c r="G451" s="5"/>
      <c r="H451" s="5"/>
      <c r="I451" s="5"/>
      <c r="J451" s="5"/>
    </row>
    <row r="452" spans="1:10" ht="13.5" customHeight="1" x14ac:dyDescent="0.2">
      <c r="A452" s="78">
        <v>44103504</v>
      </c>
      <c r="B452" s="64" t="str">
        <f ca="1">IFERROR(INDEX(UNSPSCDes,MATCH(INDIRECT(ADDRESS(ROW(),COLUMN()-1,4)),UNSPSCCode,0)),"")</f>
        <v>Alambres o espirales de encuadernación</v>
      </c>
      <c r="C452" s="63" t="s">
        <v>16988</v>
      </c>
      <c r="D452" s="63">
        <v>2</v>
      </c>
      <c r="E452" s="66">
        <v>500</v>
      </c>
      <c r="F452" s="65">
        <f ca="1">INDIRECT(ADDRESS(ROW(),COLUMN()-2,4))*INDIRECT(ADDRESS(ROW(),COLUMN()-1,4))</f>
        <v>1000</v>
      </c>
      <c r="G452" s="5"/>
      <c r="H452" s="5"/>
      <c r="I452" s="5"/>
      <c r="J452" s="5"/>
    </row>
    <row r="453" spans="1:10" ht="13.5" customHeight="1" x14ac:dyDescent="0.2">
      <c r="A453" s="78">
        <v>44103105</v>
      </c>
      <c r="B453" s="64" t="str">
        <f ca="1">IFERROR(INDEX(UNSPSCDes,MATCH(INDIRECT(ADDRESS(ROW(),COLUMN()-1,4)),UNSPSCCode,0)),"")</f>
        <v>Cartuchos de tinta</v>
      </c>
      <c r="C453" s="63" t="s">
        <v>1449</v>
      </c>
      <c r="D453" s="63">
        <v>18</v>
      </c>
      <c r="E453" s="66">
        <v>3000</v>
      </c>
      <c r="F453" s="65">
        <f ca="1">INDIRECT(ADDRESS(ROW(),COLUMN()-2,4))*INDIRECT(ADDRESS(ROW(),COLUMN()-1,4))</f>
        <v>54000</v>
      </c>
      <c r="G453" s="5"/>
      <c r="H453" s="5"/>
      <c r="I453" s="5"/>
      <c r="J453" s="5"/>
    </row>
    <row r="454" spans="1:10" ht="13.5" customHeight="1" x14ac:dyDescent="0.2">
      <c r="A454" s="78">
        <v>44103103</v>
      </c>
      <c r="B454" s="64" t="str">
        <f ca="1">IFERROR(INDEX(UNSPSCDes,MATCH(INDIRECT(ADDRESS(ROW(),COLUMN()-1,4)),UNSPSCCode,0)),"")</f>
        <v>Tóner para impresoras o fax</v>
      </c>
      <c r="C454" s="63" t="s">
        <v>1449</v>
      </c>
      <c r="D454" s="63">
        <v>18</v>
      </c>
      <c r="E454" s="66">
        <v>2000</v>
      </c>
      <c r="F454" s="65">
        <f ca="1">INDIRECT(ADDRESS(ROW(),COLUMN()-2,4))*INDIRECT(ADDRESS(ROW(),COLUMN()-1,4))</f>
        <v>36000</v>
      </c>
      <c r="G454" s="5"/>
      <c r="H454" s="5"/>
      <c r="I454" s="5"/>
      <c r="J454" s="5"/>
    </row>
    <row r="455" spans="1:10" ht="14.1" customHeight="1" x14ac:dyDescent="0.2">
      <c r="A455" s="5"/>
      <c r="B455" s="5"/>
      <c r="C455" s="5"/>
      <c r="D455" s="5"/>
      <c r="E455" s="68" t="s">
        <v>12550</v>
      </c>
      <c r="F455" s="69">
        <f ca="1">SUM(Table335[MONTO TOTAL ESTIMADO])</f>
        <v>93000</v>
      </c>
      <c r="G455" s="5"/>
      <c r="H455" s="5" t="str">
        <f>C443</f>
        <v>Bienes</v>
      </c>
      <c r="I455" s="5" t="str">
        <f>E443</f>
        <v>Sí</v>
      </c>
      <c r="J455" s="5" t="str">
        <f>D443</f>
        <v>Compras por debajo del Umbral</v>
      </c>
    </row>
    <row r="456" spans="1:10" ht="14.1" customHeight="1" thickBot="1" x14ac:dyDescent="0.3"/>
    <row r="457" spans="1:10" ht="33.75" customHeight="1" thickBot="1" x14ac:dyDescent="0.25">
      <c r="A457" s="59" t="s">
        <v>16382</v>
      </c>
      <c r="B457" s="59" t="s">
        <v>161</v>
      </c>
      <c r="C457" s="59" t="s">
        <v>11724</v>
      </c>
      <c r="D457" s="59" t="s">
        <v>14378</v>
      </c>
      <c r="E457" s="59" t="s">
        <v>10962</v>
      </c>
      <c r="F457" s="59" t="s">
        <v>11095</v>
      </c>
      <c r="G457" s="5"/>
      <c r="H457" s="5"/>
      <c r="I457" s="5"/>
      <c r="J457" s="5"/>
    </row>
    <row r="458" spans="1:10" ht="13.5" customHeight="1" thickBot="1" x14ac:dyDescent="0.25">
      <c r="A458" s="77" t="s">
        <v>18845</v>
      </c>
      <c r="B458" s="77" t="s">
        <v>18847</v>
      </c>
      <c r="C458" s="61" t="s">
        <v>17797</v>
      </c>
      <c r="D458" s="61" t="s">
        <v>10171</v>
      </c>
      <c r="E458" s="61" t="s">
        <v>8854</v>
      </c>
      <c r="F458" s="61"/>
      <c r="G458" s="5"/>
      <c r="H458" s="5"/>
      <c r="I458" s="5"/>
      <c r="J458" s="5"/>
    </row>
    <row r="459" spans="1:10" ht="14.1" customHeight="1" thickBot="1" x14ac:dyDescent="0.25">
      <c r="A459" s="82" t="s">
        <v>14828</v>
      </c>
      <c r="B459" s="62" t="s">
        <v>8528</v>
      </c>
      <c r="C459" s="71">
        <v>43831</v>
      </c>
      <c r="D459" s="82" t="s">
        <v>9385</v>
      </c>
      <c r="E459" s="62" t="s">
        <v>13093</v>
      </c>
      <c r="F459" s="61" t="s">
        <v>3080</v>
      </c>
      <c r="G459" s="5"/>
      <c r="H459" s="5"/>
      <c r="I459" s="5"/>
      <c r="J459" s="5"/>
    </row>
    <row r="460" spans="1:10" ht="14.1" customHeight="1" thickBot="1" x14ac:dyDescent="0.25">
      <c r="A460" s="83"/>
      <c r="B460" s="62" t="s">
        <v>1786</v>
      </c>
      <c r="C460" s="60">
        <f>IF(C459="","",IF(AND(MONTH(C459)&gt;=1,MONTH(C459)&lt;=3),1,IF(AND(MONTH(C459)&gt;=4,MONTH(C459)&lt;=6),2,IF(AND(MONTH(C459)&gt;=7,MONTH(C459)&lt;=9),3,4))))</f>
        <v>1</v>
      </c>
      <c r="D460" s="83"/>
      <c r="E460" s="62" t="s">
        <v>2417</v>
      </c>
      <c r="F460" s="61" t="s">
        <v>11112</v>
      </c>
      <c r="G460" s="5"/>
      <c r="H460" s="5"/>
      <c r="I460" s="5"/>
      <c r="J460" s="5"/>
    </row>
    <row r="461" spans="1:10" ht="14.1" customHeight="1" thickBot="1" x14ac:dyDescent="0.25">
      <c r="A461" s="83"/>
      <c r="B461" s="62" t="s">
        <v>12942</v>
      </c>
      <c r="C461" s="71">
        <v>43921</v>
      </c>
      <c r="D461" s="83"/>
      <c r="E461" s="62" t="s">
        <v>3073</v>
      </c>
      <c r="F461" s="61" t="s">
        <v>11112</v>
      </c>
      <c r="G461" s="5"/>
      <c r="H461" s="5"/>
      <c r="I461" s="5"/>
      <c r="J461" s="5"/>
    </row>
    <row r="462" spans="1:10" ht="14.1" customHeight="1" thickBot="1" x14ac:dyDescent="0.25">
      <c r="A462" s="83"/>
      <c r="B462" s="62" t="s">
        <v>1786</v>
      </c>
      <c r="C462" s="60">
        <f>IF(C461="","",IF(AND(MONTH(C461)&gt;=1,MONTH(C461)&lt;=3),1,IF(AND(MONTH(C461)&gt;=4,MONTH(C461)&lt;=6),2,IF(AND(MONTH(C461)&gt;=7,MONTH(C461)&lt;=9),3,4))))</f>
        <v>1</v>
      </c>
      <c r="D462" s="83"/>
      <c r="E462" s="62" t="s">
        <v>13192</v>
      </c>
      <c r="F462" s="61" t="s">
        <v>11112</v>
      </c>
      <c r="G462" s="5"/>
      <c r="H462" s="5"/>
      <c r="I462" s="5"/>
      <c r="J462" s="5"/>
    </row>
    <row r="463" spans="1:10" ht="14.1" customHeight="1" thickBot="1" x14ac:dyDescent="0.25">
      <c r="A463" s="5"/>
      <c r="B463" s="5"/>
      <c r="C463" s="5"/>
      <c r="D463" s="5"/>
      <c r="E463" s="5"/>
      <c r="F463" s="5"/>
      <c r="G463" s="5"/>
      <c r="H463" s="5"/>
      <c r="I463" s="5"/>
      <c r="J463" s="5"/>
    </row>
    <row r="464" spans="1:10" ht="14.1" customHeight="1" thickBot="1" x14ac:dyDescent="0.25">
      <c r="A464" s="67" t="s">
        <v>15735</v>
      </c>
      <c r="B464" s="67" t="s">
        <v>16146</v>
      </c>
      <c r="C464" s="67" t="s">
        <v>15641</v>
      </c>
      <c r="D464" s="67" t="s">
        <v>15251</v>
      </c>
      <c r="E464" s="67" t="s">
        <v>6932</v>
      </c>
      <c r="F464" s="67" t="s">
        <v>15280</v>
      </c>
      <c r="G464" s="5"/>
      <c r="H464" s="5"/>
      <c r="I464" s="5"/>
      <c r="J464" s="5"/>
    </row>
    <row r="465" spans="1:10" ht="13.5" customHeight="1" x14ac:dyDescent="0.2">
      <c r="A465" s="78">
        <v>44111503</v>
      </c>
      <c r="B465" s="64" t="str">
        <f t="shared" ref="B465:B469" ca="1" si="22">IFERROR(INDEX(UNSPSCDes,MATCH(INDIRECT(ADDRESS(ROW(),COLUMN()-1,4)),UNSPSCCode,0)),"")</f>
        <v>Organizadores o bandejas para el escritorio</v>
      </c>
      <c r="C465" s="63" t="s">
        <v>1449</v>
      </c>
      <c r="D465" s="63">
        <v>10</v>
      </c>
      <c r="E465" s="66">
        <v>1000</v>
      </c>
      <c r="F465" s="65">
        <f t="shared" ref="F465:F469" ca="1" si="23">INDIRECT(ADDRESS(ROW(),COLUMN()-2,4))*INDIRECT(ADDRESS(ROW(),COLUMN()-1,4))</f>
        <v>10000</v>
      </c>
      <c r="G465" s="5"/>
      <c r="H465" s="5"/>
      <c r="I465" s="5"/>
      <c r="J465" s="5"/>
    </row>
    <row r="466" spans="1:10" ht="13.5" customHeight="1" x14ac:dyDescent="0.2">
      <c r="A466" s="78">
        <v>44111907</v>
      </c>
      <c r="B466" s="64" t="str">
        <f t="shared" ca="1" si="22"/>
        <v>Tableros de noticias o accesorios</v>
      </c>
      <c r="C466" s="63" t="s">
        <v>1449</v>
      </c>
      <c r="D466" s="63">
        <v>8</v>
      </c>
      <c r="E466" s="66">
        <v>1700</v>
      </c>
      <c r="F466" s="65">
        <f t="shared" ca="1" si="23"/>
        <v>13600</v>
      </c>
      <c r="G466" s="5"/>
      <c r="H466" s="5"/>
      <c r="I466" s="5"/>
      <c r="J466" s="5"/>
    </row>
    <row r="467" spans="1:10" ht="13.5" customHeight="1" x14ac:dyDescent="0.2">
      <c r="A467" s="78">
        <v>44111905</v>
      </c>
      <c r="B467" s="64" t="str">
        <f t="shared" ca="1" si="22"/>
        <v>Tableros de borrado en seco o accesorios</v>
      </c>
      <c r="C467" s="63" t="s">
        <v>1449</v>
      </c>
      <c r="D467" s="63">
        <v>2</v>
      </c>
      <c r="E467" s="66">
        <v>1500</v>
      </c>
      <c r="F467" s="65">
        <f t="shared" ca="1" si="23"/>
        <v>3000</v>
      </c>
      <c r="G467" s="5"/>
      <c r="H467" s="5"/>
      <c r="I467" s="5"/>
      <c r="J467" s="5"/>
    </row>
    <row r="468" spans="1:10" ht="13.5" customHeight="1" x14ac:dyDescent="0.2">
      <c r="A468" s="78">
        <v>44111909</v>
      </c>
      <c r="B468" s="64" t="str">
        <f t="shared" ca="1" si="22"/>
        <v>Kits o accesorios para limpieza de tableros</v>
      </c>
      <c r="C468" s="63" t="s">
        <v>1449</v>
      </c>
      <c r="D468" s="63">
        <v>2</v>
      </c>
      <c r="E468" s="66">
        <v>300</v>
      </c>
      <c r="F468" s="65">
        <f t="shared" ca="1" si="23"/>
        <v>600</v>
      </c>
      <c r="G468" s="5"/>
      <c r="H468" s="5"/>
      <c r="I468" s="5"/>
      <c r="J468" s="5"/>
    </row>
    <row r="469" spans="1:10" ht="13.5" customHeight="1" x14ac:dyDescent="0.2">
      <c r="A469" s="78">
        <v>44111903</v>
      </c>
      <c r="B469" s="64" t="str">
        <f t="shared" ca="1" si="22"/>
        <v>Caballetes o accesorios</v>
      </c>
      <c r="C469" s="63" t="s">
        <v>1449</v>
      </c>
      <c r="D469" s="63">
        <v>2</v>
      </c>
      <c r="E469" s="66">
        <v>1900</v>
      </c>
      <c r="F469" s="65">
        <f t="shared" ca="1" si="23"/>
        <v>3800</v>
      </c>
      <c r="G469" s="5"/>
      <c r="H469" s="5"/>
      <c r="I469" s="5"/>
      <c r="J469" s="5"/>
    </row>
    <row r="470" spans="1:10" ht="14.1" customHeight="1" x14ac:dyDescent="0.2">
      <c r="A470" s="5"/>
      <c r="B470" s="5"/>
      <c r="C470" s="5"/>
      <c r="D470" s="5"/>
      <c r="E470" s="68" t="s">
        <v>12550</v>
      </c>
      <c r="F470" s="69">
        <f ca="1">SUM(Table336[MONTO TOTAL ESTIMADO])</f>
        <v>31000</v>
      </c>
      <c r="G470" s="5"/>
      <c r="H470" s="5" t="str">
        <f>C458</f>
        <v>Bienes</v>
      </c>
      <c r="I470" s="5" t="str">
        <f>E458</f>
        <v>Sí</v>
      </c>
      <c r="J470" s="5" t="str">
        <f>D458</f>
        <v>Compras por debajo del Umbral</v>
      </c>
    </row>
    <row r="471" spans="1:10" ht="14.1" customHeight="1" thickBot="1" x14ac:dyDescent="0.3"/>
    <row r="472" spans="1:10" ht="33.75" customHeight="1" thickBot="1" x14ac:dyDescent="0.25">
      <c r="A472" s="59" t="s">
        <v>16382</v>
      </c>
      <c r="B472" s="59" t="s">
        <v>161</v>
      </c>
      <c r="C472" s="59" t="s">
        <v>11724</v>
      </c>
      <c r="D472" s="59" t="s">
        <v>14378</v>
      </c>
      <c r="E472" s="59" t="s">
        <v>10962</v>
      </c>
      <c r="F472" s="59" t="s">
        <v>11095</v>
      </c>
      <c r="G472" s="5"/>
      <c r="H472" s="5"/>
      <c r="I472" s="5"/>
      <c r="J472" s="5"/>
    </row>
    <row r="473" spans="1:10" ht="13.5" customHeight="1" thickBot="1" x14ac:dyDescent="0.25">
      <c r="A473" s="77" t="s">
        <v>18845</v>
      </c>
      <c r="B473" s="77" t="s">
        <v>18847</v>
      </c>
      <c r="C473" s="61" t="s">
        <v>17797</v>
      </c>
      <c r="D473" s="61" t="s">
        <v>10171</v>
      </c>
      <c r="E473" s="61" t="s">
        <v>8854</v>
      </c>
      <c r="F473" s="61"/>
      <c r="G473" s="5"/>
      <c r="H473" s="5"/>
      <c r="I473" s="5"/>
      <c r="J473" s="5"/>
    </row>
    <row r="474" spans="1:10" ht="14.1" customHeight="1" thickBot="1" x14ac:dyDescent="0.25">
      <c r="A474" s="82" t="s">
        <v>14828</v>
      </c>
      <c r="B474" s="62" t="s">
        <v>8528</v>
      </c>
      <c r="C474" s="71">
        <v>43922</v>
      </c>
      <c r="D474" s="82" t="s">
        <v>9385</v>
      </c>
      <c r="E474" s="62" t="s">
        <v>13093</v>
      </c>
      <c r="F474" s="61" t="s">
        <v>3080</v>
      </c>
      <c r="G474" s="5"/>
      <c r="H474" s="5"/>
      <c r="I474" s="5"/>
      <c r="J474" s="5"/>
    </row>
    <row r="475" spans="1:10" ht="14.1" customHeight="1" thickBot="1" x14ac:dyDescent="0.25">
      <c r="A475" s="83"/>
      <c r="B475" s="62" t="s">
        <v>1786</v>
      </c>
      <c r="C475" s="60">
        <f>IF(C474="","",IF(AND(MONTH(C474)&gt;=1,MONTH(C474)&lt;=3),1,IF(AND(MONTH(C474)&gt;=4,MONTH(C474)&lt;=6),2,IF(AND(MONTH(C474)&gt;=7,MONTH(C474)&lt;=9),3,4))))</f>
        <v>2</v>
      </c>
      <c r="D475" s="83"/>
      <c r="E475" s="62" t="s">
        <v>2417</v>
      </c>
      <c r="F475" s="61" t="s">
        <v>11112</v>
      </c>
      <c r="G475" s="5"/>
      <c r="H475" s="5"/>
      <c r="I475" s="5"/>
      <c r="J475" s="5"/>
    </row>
    <row r="476" spans="1:10" ht="14.1" customHeight="1" thickBot="1" x14ac:dyDescent="0.25">
      <c r="A476" s="83"/>
      <c r="B476" s="62" t="s">
        <v>12942</v>
      </c>
      <c r="C476" s="71">
        <v>44012</v>
      </c>
      <c r="D476" s="83"/>
      <c r="E476" s="62" t="s">
        <v>3073</v>
      </c>
      <c r="F476" s="61" t="s">
        <v>11112</v>
      </c>
      <c r="G476" s="5"/>
      <c r="H476" s="5"/>
      <c r="I476" s="5"/>
      <c r="J476" s="5"/>
    </row>
    <row r="477" spans="1:10" ht="14.1" customHeight="1" thickBot="1" x14ac:dyDescent="0.25">
      <c r="A477" s="83"/>
      <c r="B477" s="62" t="s">
        <v>1786</v>
      </c>
      <c r="C477" s="60">
        <f>IF(C476="","",IF(AND(MONTH(C476)&gt;=1,MONTH(C476)&lt;=3),1,IF(AND(MONTH(C476)&gt;=4,MONTH(C476)&lt;=6),2,IF(AND(MONTH(C476)&gt;=7,MONTH(C476)&lt;=9),3,4))))</f>
        <v>2</v>
      </c>
      <c r="D477" s="83"/>
      <c r="E477" s="62" t="s">
        <v>13192</v>
      </c>
      <c r="F477" s="61" t="s">
        <v>11112</v>
      </c>
      <c r="G477" s="5"/>
      <c r="H477" s="5"/>
      <c r="I477" s="5"/>
      <c r="J477" s="5"/>
    </row>
    <row r="478" spans="1:10" ht="14.1" customHeight="1" thickBot="1" x14ac:dyDescent="0.25">
      <c r="A478" s="5"/>
      <c r="B478" s="5"/>
      <c r="C478" s="5"/>
      <c r="D478" s="5"/>
      <c r="E478" s="5"/>
      <c r="F478" s="5"/>
      <c r="G478" s="5"/>
      <c r="H478" s="5"/>
      <c r="I478" s="5"/>
      <c r="J478" s="5"/>
    </row>
    <row r="479" spans="1:10" ht="14.1" customHeight="1" thickBot="1" x14ac:dyDescent="0.25">
      <c r="A479" s="67" t="s">
        <v>15735</v>
      </c>
      <c r="B479" s="67" t="s">
        <v>16146</v>
      </c>
      <c r="C479" s="67" t="s">
        <v>15641</v>
      </c>
      <c r="D479" s="67" t="s">
        <v>15251</v>
      </c>
      <c r="E479" s="67" t="s">
        <v>6932</v>
      </c>
      <c r="F479" s="67" t="s">
        <v>15280</v>
      </c>
      <c r="G479" s="5"/>
      <c r="H479" s="5"/>
      <c r="I479" s="5"/>
      <c r="J479" s="5"/>
    </row>
    <row r="480" spans="1:10" ht="13.5" customHeight="1" x14ac:dyDescent="0.2">
      <c r="A480" s="78">
        <v>44111503</v>
      </c>
      <c r="B480" s="64" t="str">
        <f ca="1">IFERROR(INDEX(UNSPSCDes,MATCH(INDIRECT(ADDRESS(ROW(),COLUMN()-1,4)),UNSPSCCode,0)),"")</f>
        <v>Organizadores o bandejas para el escritorio</v>
      </c>
      <c r="C480" s="63" t="s">
        <v>1449</v>
      </c>
      <c r="D480" s="63">
        <v>10</v>
      </c>
      <c r="E480" s="66">
        <v>1000</v>
      </c>
      <c r="F480" s="65">
        <f ca="1">INDIRECT(ADDRESS(ROW(),COLUMN()-2,4))*INDIRECT(ADDRESS(ROW(),COLUMN()-1,4))</f>
        <v>10000</v>
      </c>
      <c r="G480" s="5"/>
      <c r="H480" s="5"/>
      <c r="I480" s="5"/>
      <c r="J480" s="5"/>
    </row>
    <row r="481" spans="1:10" ht="13.5" customHeight="1" x14ac:dyDescent="0.2">
      <c r="A481" s="78">
        <v>44111907</v>
      </c>
      <c r="B481" s="64" t="str">
        <f ca="1">IFERROR(INDEX(UNSPSCDes,MATCH(INDIRECT(ADDRESS(ROW(),COLUMN()-1,4)),UNSPSCCode,0)),"")</f>
        <v>Tableros de noticias o accesorios</v>
      </c>
      <c r="C481" s="63" t="s">
        <v>1449</v>
      </c>
      <c r="D481" s="63">
        <v>3</v>
      </c>
      <c r="E481" s="66">
        <v>1700</v>
      </c>
      <c r="F481" s="65">
        <f ca="1">INDIRECT(ADDRESS(ROW(),COLUMN()-2,4))*INDIRECT(ADDRESS(ROW(),COLUMN()-1,4))</f>
        <v>5100</v>
      </c>
      <c r="G481" s="5"/>
      <c r="H481" s="5"/>
      <c r="I481" s="5"/>
      <c r="J481" s="5"/>
    </row>
    <row r="482" spans="1:10" ht="14.1" customHeight="1" x14ac:dyDescent="0.2">
      <c r="A482" s="5"/>
      <c r="B482" s="5"/>
      <c r="C482" s="5"/>
      <c r="D482" s="5"/>
      <c r="E482" s="68" t="s">
        <v>12550</v>
      </c>
      <c r="F482" s="69">
        <f ca="1">SUM(Table337[MONTO TOTAL ESTIMADO])</f>
        <v>15100</v>
      </c>
      <c r="G482" s="5"/>
      <c r="H482" s="5" t="str">
        <f>C473</f>
        <v>Bienes</v>
      </c>
      <c r="I482" s="5" t="str">
        <f>E473</f>
        <v>Sí</v>
      </c>
      <c r="J482" s="5" t="str">
        <f>D473</f>
        <v>Compras por debajo del Umbral</v>
      </c>
    </row>
    <row r="483" spans="1:10" ht="14.1" customHeight="1" thickBot="1" x14ac:dyDescent="0.3"/>
    <row r="484" spans="1:10" ht="33.75" customHeight="1" thickBot="1" x14ac:dyDescent="0.25">
      <c r="A484" s="59" t="s">
        <v>16382</v>
      </c>
      <c r="B484" s="59" t="s">
        <v>161</v>
      </c>
      <c r="C484" s="59" t="s">
        <v>11724</v>
      </c>
      <c r="D484" s="59" t="s">
        <v>14378</v>
      </c>
      <c r="E484" s="59" t="s">
        <v>10962</v>
      </c>
      <c r="F484" s="59" t="s">
        <v>11095</v>
      </c>
      <c r="G484" s="5"/>
      <c r="H484" s="5"/>
      <c r="I484" s="5"/>
      <c r="J484" s="5"/>
    </row>
    <row r="485" spans="1:10" ht="13.5" customHeight="1" thickBot="1" x14ac:dyDescent="0.25">
      <c r="A485" s="77" t="s">
        <v>18845</v>
      </c>
      <c r="B485" s="77" t="s">
        <v>18847</v>
      </c>
      <c r="C485" s="61" t="s">
        <v>17797</v>
      </c>
      <c r="D485" s="61" t="s">
        <v>10171</v>
      </c>
      <c r="E485" s="61" t="s">
        <v>8854</v>
      </c>
      <c r="F485" s="61"/>
      <c r="G485" s="5"/>
      <c r="H485" s="5"/>
      <c r="I485" s="5"/>
      <c r="J485" s="5"/>
    </row>
    <row r="486" spans="1:10" ht="14.1" customHeight="1" thickBot="1" x14ac:dyDescent="0.25">
      <c r="A486" s="82" t="s">
        <v>14828</v>
      </c>
      <c r="B486" s="62" t="s">
        <v>8528</v>
      </c>
      <c r="C486" s="71">
        <v>44013</v>
      </c>
      <c r="D486" s="82" t="s">
        <v>9385</v>
      </c>
      <c r="E486" s="62" t="s">
        <v>13093</v>
      </c>
      <c r="F486" s="61" t="s">
        <v>3080</v>
      </c>
      <c r="G486" s="5"/>
      <c r="H486" s="5"/>
      <c r="I486" s="5"/>
      <c r="J486" s="5"/>
    </row>
    <row r="487" spans="1:10" ht="14.1" customHeight="1" thickBot="1" x14ac:dyDescent="0.25">
      <c r="A487" s="83"/>
      <c r="B487" s="62" t="s">
        <v>1786</v>
      </c>
      <c r="C487" s="60">
        <f>IF(C486="","",IF(AND(MONTH(C486)&gt;=1,MONTH(C486)&lt;=3),1,IF(AND(MONTH(C486)&gt;=4,MONTH(C486)&lt;=6),2,IF(AND(MONTH(C486)&gt;=7,MONTH(C486)&lt;=9),3,4))))</f>
        <v>3</v>
      </c>
      <c r="D487" s="83"/>
      <c r="E487" s="62" t="s">
        <v>2417</v>
      </c>
      <c r="F487" s="61" t="s">
        <v>11112</v>
      </c>
      <c r="G487" s="5"/>
      <c r="H487" s="5"/>
      <c r="I487" s="5"/>
      <c r="J487" s="5"/>
    </row>
    <row r="488" spans="1:10" ht="14.1" customHeight="1" thickBot="1" x14ac:dyDescent="0.25">
      <c r="A488" s="83"/>
      <c r="B488" s="62" t="s">
        <v>12942</v>
      </c>
      <c r="C488" s="71">
        <v>44104</v>
      </c>
      <c r="D488" s="83"/>
      <c r="E488" s="62" t="s">
        <v>3073</v>
      </c>
      <c r="F488" s="61" t="s">
        <v>11112</v>
      </c>
      <c r="G488" s="5"/>
      <c r="H488" s="5"/>
      <c r="I488" s="5"/>
      <c r="J488" s="5"/>
    </row>
    <row r="489" spans="1:10" ht="14.1" customHeight="1" thickBot="1" x14ac:dyDescent="0.25">
      <c r="A489" s="83"/>
      <c r="B489" s="62" t="s">
        <v>1786</v>
      </c>
      <c r="C489" s="60">
        <f>IF(C488="","",IF(AND(MONTH(C488)&gt;=1,MONTH(C488)&lt;=3),1,IF(AND(MONTH(C488)&gt;=4,MONTH(C488)&lt;=6),2,IF(AND(MONTH(C488)&gt;=7,MONTH(C488)&lt;=9),3,4))))</f>
        <v>3</v>
      </c>
      <c r="D489" s="83"/>
      <c r="E489" s="62" t="s">
        <v>13192</v>
      </c>
      <c r="F489" s="61" t="s">
        <v>11112</v>
      </c>
      <c r="G489" s="5"/>
      <c r="H489" s="5"/>
      <c r="I489" s="5"/>
      <c r="J489" s="5"/>
    </row>
    <row r="490" spans="1:10" ht="14.1" customHeight="1" thickBot="1" x14ac:dyDescent="0.25">
      <c r="A490" s="5"/>
      <c r="B490" s="5"/>
      <c r="C490" s="5"/>
      <c r="D490" s="5"/>
      <c r="E490" s="5"/>
      <c r="F490" s="5"/>
      <c r="G490" s="5"/>
      <c r="H490" s="5"/>
      <c r="I490" s="5"/>
      <c r="J490" s="5"/>
    </row>
    <row r="491" spans="1:10" ht="14.1" customHeight="1" thickBot="1" x14ac:dyDescent="0.25">
      <c r="A491" s="67" t="s">
        <v>15735</v>
      </c>
      <c r="B491" s="67" t="s">
        <v>16146</v>
      </c>
      <c r="C491" s="67" t="s">
        <v>15641</v>
      </c>
      <c r="D491" s="67" t="s">
        <v>15251</v>
      </c>
      <c r="E491" s="67" t="s">
        <v>6932</v>
      </c>
      <c r="F491" s="67" t="s">
        <v>15280</v>
      </c>
      <c r="G491" s="5"/>
      <c r="H491" s="5"/>
      <c r="I491" s="5"/>
      <c r="J491" s="5"/>
    </row>
    <row r="492" spans="1:10" ht="13.5" customHeight="1" x14ac:dyDescent="0.2">
      <c r="A492" s="78">
        <v>44111503</v>
      </c>
      <c r="B492" s="64" t="str">
        <f ca="1">IFERROR(INDEX(UNSPSCDes,MATCH(INDIRECT(ADDRESS(ROW(),COLUMN()-1,4)),UNSPSCCode,0)),"")</f>
        <v>Organizadores o bandejas para el escritorio</v>
      </c>
      <c r="C492" s="63" t="s">
        <v>1449</v>
      </c>
      <c r="D492" s="63">
        <v>9</v>
      </c>
      <c r="E492" s="66">
        <v>1000</v>
      </c>
      <c r="F492" s="65">
        <f ca="1">INDIRECT(ADDRESS(ROW(),COLUMN()-2,4))*INDIRECT(ADDRESS(ROW(),COLUMN()-1,4))</f>
        <v>9000</v>
      </c>
      <c r="G492" s="5"/>
      <c r="H492" s="5"/>
      <c r="I492" s="5"/>
      <c r="J492" s="5"/>
    </row>
    <row r="493" spans="1:10" ht="13.5" customHeight="1" x14ac:dyDescent="0.2">
      <c r="A493" s="78">
        <v>44111907</v>
      </c>
      <c r="B493" s="64" t="str">
        <f ca="1">IFERROR(INDEX(UNSPSCDes,MATCH(INDIRECT(ADDRESS(ROW(),COLUMN()-1,4)),UNSPSCCode,0)),"")</f>
        <v>Tableros de noticias o accesorios</v>
      </c>
      <c r="C493" s="63" t="s">
        <v>1449</v>
      </c>
      <c r="D493" s="63">
        <v>2</v>
      </c>
      <c r="E493" s="66">
        <v>1700</v>
      </c>
      <c r="F493" s="65">
        <f ca="1">INDIRECT(ADDRESS(ROW(),COLUMN()-2,4))*INDIRECT(ADDRESS(ROW(),COLUMN()-1,4))</f>
        <v>3400</v>
      </c>
      <c r="G493" s="5"/>
      <c r="H493" s="5"/>
      <c r="I493" s="5"/>
      <c r="J493" s="5"/>
    </row>
    <row r="494" spans="1:10" ht="14.1" customHeight="1" x14ac:dyDescent="0.2">
      <c r="A494" s="5"/>
      <c r="B494" s="5"/>
      <c r="C494" s="5"/>
      <c r="D494" s="5"/>
      <c r="E494" s="68" t="s">
        <v>12550</v>
      </c>
      <c r="F494" s="69">
        <f ca="1">SUM(Table338[MONTO TOTAL ESTIMADO])</f>
        <v>12400</v>
      </c>
      <c r="G494" s="5"/>
      <c r="H494" s="5" t="str">
        <f>C485</f>
        <v>Bienes</v>
      </c>
      <c r="I494" s="5" t="str">
        <f>E485</f>
        <v>Sí</v>
      </c>
      <c r="J494" s="5" t="str">
        <f>D485</f>
        <v>Compras por debajo del Umbral</v>
      </c>
    </row>
    <row r="495" spans="1:10" ht="14.1" customHeight="1" thickBot="1" x14ac:dyDescent="0.3"/>
    <row r="496" spans="1:10" ht="33.75" customHeight="1" thickBot="1" x14ac:dyDescent="0.25">
      <c r="A496" s="59" t="s">
        <v>16382</v>
      </c>
      <c r="B496" s="59" t="s">
        <v>161</v>
      </c>
      <c r="C496" s="59" t="s">
        <v>11724</v>
      </c>
      <c r="D496" s="59" t="s">
        <v>14378</v>
      </c>
      <c r="E496" s="59" t="s">
        <v>10962</v>
      </c>
      <c r="F496" s="59" t="s">
        <v>11095</v>
      </c>
      <c r="G496" s="5"/>
      <c r="H496" s="5"/>
      <c r="I496" s="5"/>
      <c r="J496" s="5"/>
    </row>
    <row r="497" spans="1:10" ht="13.5" customHeight="1" thickBot="1" x14ac:dyDescent="0.25">
      <c r="A497" s="77" t="s">
        <v>18845</v>
      </c>
      <c r="B497" s="77" t="s">
        <v>18847</v>
      </c>
      <c r="C497" s="61" t="s">
        <v>17797</v>
      </c>
      <c r="D497" s="61" t="s">
        <v>10171</v>
      </c>
      <c r="E497" s="61" t="s">
        <v>8854</v>
      </c>
      <c r="F497" s="61"/>
      <c r="G497" s="5"/>
      <c r="H497" s="5"/>
      <c r="I497" s="5"/>
      <c r="J497" s="5"/>
    </row>
    <row r="498" spans="1:10" ht="14.1" customHeight="1" thickBot="1" x14ac:dyDescent="0.25">
      <c r="A498" s="82" t="s">
        <v>14828</v>
      </c>
      <c r="B498" s="62" t="s">
        <v>8528</v>
      </c>
      <c r="C498" s="71">
        <v>44105</v>
      </c>
      <c r="D498" s="82" t="s">
        <v>9385</v>
      </c>
      <c r="E498" s="62" t="s">
        <v>13093</v>
      </c>
      <c r="F498" s="61" t="s">
        <v>3080</v>
      </c>
      <c r="G498" s="5"/>
      <c r="H498" s="5"/>
      <c r="I498" s="5"/>
      <c r="J498" s="5"/>
    </row>
    <row r="499" spans="1:10" ht="14.1" customHeight="1" thickBot="1" x14ac:dyDescent="0.25">
      <c r="A499" s="83"/>
      <c r="B499" s="62" t="s">
        <v>1786</v>
      </c>
      <c r="C499" s="60">
        <f>IF(C498="","",IF(AND(MONTH(C498)&gt;=1,MONTH(C498)&lt;=3),1,IF(AND(MONTH(C498)&gt;=4,MONTH(C498)&lt;=6),2,IF(AND(MONTH(C498)&gt;=7,MONTH(C498)&lt;=9),3,4))))</f>
        <v>4</v>
      </c>
      <c r="D499" s="83"/>
      <c r="E499" s="62" t="s">
        <v>2417</v>
      </c>
      <c r="F499" s="61" t="s">
        <v>11112</v>
      </c>
      <c r="G499" s="5"/>
      <c r="H499" s="5"/>
      <c r="I499" s="5"/>
      <c r="J499" s="5"/>
    </row>
    <row r="500" spans="1:10" ht="14.1" customHeight="1" thickBot="1" x14ac:dyDescent="0.25">
      <c r="A500" s="83"/>
      <c r="B500" s="62" t="s">
        <v>12942</v>
      </c>
      <c r="C500" s="71">
        <v>44196</v>
      </c>
      <c r="D500" s="83"/>
      <c r="E500" s="62" t="s">
        <v>3073</v>
      </c>
      <c r="F500" s="61" t="s">
        <v>11112</v>
      </c>
      <c r="G500" s="5"/>
      <c r="H500" s="5"/>
      <c r="I500" s="5"/>
      <c r="J500" s="5"/>
    </row>
    <row r="501" spans="1:10" ht="14.1" customHeight="1" thickBot="1" x14ac:dyDescent="0.25">
      <c r="A501" s="83"/>
      <c r="B501" s="62" t="s">
        <v>1786</v>
      </c>
      <c r="C501" s="60">
        <f>IF(C500="","",IF(AND(MONTH(C500)&gt;=1,MONTH(C500)&lt;=3),1,IF(AND(MONTH(C500)&gt;=4,MONTH(C500)&lt;=6),2,IF(AND(MONTH(C500)&gt;=7,MONTH(C500)&lt;=9),3,4))))</f>
        <v>4</v>
      </c>
      <c r="D501" s="83"/>
      <c r="E501" s="62" t="s">
        <v>13192</v>
      </c>
      <c r="F501" s="61" t="s">
        <v>11112</v>
      </c>
      <c r="G501" s="5"/>
      <c r="H501" s="5"/>
      <c r="I501" s="5"/>
      <c r="J501" s="5"/>
    </row>
    <row r="502" spans="1:10" ht="14.1" customHeight="1" thickBot="1" x14ac:dyDescent="0.25">
      <c r="A502" s="5"/>
      <c r="B502" s="5"/>
      <c r="C502" s="5"/>
      <c r="D502" s="5"/>
      <c r="E502" s="5"/>
      <c r="F502" s="5"/>
      <c r="G502" s="5"/>
      <c r="H502" s="5"/>
      <c r="I502" s="5"/>
      <c r="J502" s="5"/>
    </row>
    <row r="503" spans="1:10" ht="14.1" customHeight="1" thickBot="1" x14ac:dyDescent="0.25">
      <c r="A503" s="67" t="s">
        <v>15735</v>
      </c>
      <c r="B503" s="67" t="s">
        <v>16146</v>
      </c>
      <c r="C503" s="67" t="s">
        <v>15641</v>
      </c>
      <c r="D503" s="67" t="s">
        <v>15251</v>
      </c>
      <c r="E503" s="67" t="s">
        <v>6932</v>
      </c>
      <c r="F503" s="67" t="s">
        <v>15280</v>
      </c>
      <c r="G503" s="5"/>
      <c r="H503" s="5"/>
      <c r="I503" s="5"/>
      <c r="J503" s="5"/>
    </row>
    <row r="504" spans="1:10" ht="13.5" customHeight="1" x14ac:dyDescent="0.2">
      <c r="A504" s="78">
        <v>44111503</v>
      </c>
      <c r="B504" s="64" t="str">
        <f ca="1">IFERROR(INDEX(UNSPSCDes,MATCH(INDIRECT(ADDRESS(ROW(),COLUMN()-1,4)),UNSPSCCode,0)),"")</f>
        <v>Organizadores o bandejas para el escritorio</v>
      </c>
      <c r="C504" s="63" t="s">
        <v>1449</v>
      </c>
      <c r="D504" s="63">
        <v>6</v>
      </c>
      <c r="E504" s="66">
        <v>1000</v>
      </c>
      <c r="F504" s="65">
        <f ca="1">INDIRECT(ADDRESS(ROW(),COLUMN()-2,4))*INDIRECT(ADDRESS(ROW(),COLUMN()-1,4))</f>
        <v>6000</v>
      </c>
      <c r="G504" s="5"/>
      <c r="H504" s="5"/>
      <c r="I504" s="5"/>
      <c r="J504" s="5"/>
    </row>
    <row r="505" spans="1:10" ht="14.1" customHeight="1" x14ac:dyDescent="0.2">
      <c r="A505" s="5"/>
      <c r="B505" s="5"/>
      <c r="C505" s="5"/>
      <c r="D505" s="5"/>
      <c r="E505" s="68" t="s">
        <v>12550</v>
      </c>
      <c r="F505" s="69">
        <f ca="1">SUM(Table339[MONTO TOTAL ESTIMADO])</f>
        <v>6000</v>
      </c>
      <c r="G505" s="5"/>
      <c r="H505" s="5" t="str">
        <f>C497</f>
        <v>Bienes</v>
      </c>
      <c r="I505" s="5" t="str">
        <f>E497</f>
        <v>Sí</v>
      </c>
      <c r="J505" s="5" t="str">
        <f>D497</f>
        <v>Compras por debajo del Umbral</v>
      </c>
    </row>
    <row r="506" spans="1:10" ht="14.1" customHeight="1" thickBot="1" x14ac:dyDescent="0.3"/>
    <row r="507" spans="1:10" ht="33.75" customHeight="1" thickBot="1" x14ac:dyDescent="0.25">
      <c r="A507" s="59" t="s">
        <v>16382</v>
      </c>
      <c r="B507" s="59" t="s">
        <v>161</v>
      </c>
      <c r="C507" s="59" t="s">
        <v>11724</v>
      </c>
      <c r="D507" s="59" t="s">
        <v>14378</v>
      </c>
      <c r="E507" s="59" t="s">
        <v>10962</v>
      </c>
      <c r="F507" s="59" t="s">
        <v>11095</v>
      </c>
      <c r="G507" s="5"/>
      <c r="H507" s="5"/>
      <c r="I507" s="5"/>
      <c r="J507" s="5"/>
    </row>
    <row r="508" spans="1:10" ht="13.5" customHeight="1" thickBot="1" x14ac:dyDescent="0.25">
      <c r="A508" s="77" t="s">
        <v>18849</v>
      </c>
      <c r="B508" s="77" t="s">
        <v>18848</v>
      </c>
      <c r="C508" s="61" t="s">
        <v>17797</v>
      </c>
      <c r="D508" s="61" t="s">
        <v>17482</v>
      </c>
      <c r="E508" s="61" t="s">
        <v>8854</v>
      </c>
      <c r="F508" s="61"/>
      <c r="G508" s="5"/>
      <c r="H508" s="5"/>
      <c r="I508" s="5"/>
      <c r="J508" s="5"/>
    </row>
    <row r="509" spans="1:10" ht="14.1" customHeight="1" thickBot="1" x14ac:dyDescent="0.25">
      <c r="A509" s="82" t="s">
        <v>14828</v>
      </c>
      <c r="B509" s="62" t="s">
        <v>8528</v>
      </c>
      <c r="C509" s="71">
        <v>43831</v>
      </c>
      <c r="D509" s="82" t="s">
        <v>9385</v>
      </c>
      <c r="E509" s="62" t="s">
        <v>13093</v>
      </c>
      <c r="F509" s="61" t="s">
        <v>3080</v>
      </c>
      <c r="G509" s="5"/>
      <c r="H509" s="5"/>
      <c r="I509" s="5"/>
      <c r="J509" s="5"/>
    </row>
    <row r="510" spans="1:10" ht="14.1" customHeight="1" thickBot="1" x14ac:dyDescent="0.25">
      <c r="A510" s="83"/>
      <c r="B510" s="62" t="s">
        <v>1786</v>
      </c>
      <c r="C510" s="60">
        <f>IF(C509="","",IF(AND(MONTH(C509)&gt;=1,MONTH(C509)&lt;=3),1,IF(AND(MONTH(C509)&gt;=4,MONTH(C509)&lt;=6),2,IF(AND(MONTH(C509)&gt;=7,MONTH(C509)&lt;=9),3,4))))</f>
        <v>1</v>
      </c>
      <c r="D510" s="83"/>
      <c r="E510" s="62" t="s">
        <v>2417</v>
      </c>
      <c r="F510" s="61" t="s">
        <v>11112</v>
      </c>
      <c r="G510" s="5"/>
      <c r="H510" s="5"/>
      <c r="I510" s="5"/>
      <c r="J510" s="5"/>
    </row>
    <row r="511" spans="1:10" ht="14.1" customHeight="1" thickBot="1" x14ac:dyDescent="0.25">
      <c r="A511" s="83"/>
      <c r="B511" s="62" t="s">
        <v>12942</v>
      </c>
      <c r="C511" s="71">
        <v>43921</v>
      </c>
      <c r="D511" s="83"/>
      <c r="E511" s="62" t="s">
        <v>3073</v>
      </c>
      <c r="F511" s="61" t="s">
        <v>11112</v>
      </c>
      <c r="G511" s="5"/>
      <c r="H511" s="5"/>
      <c r="I511" s="5"/>
      <c r="J511" s="5"/>
    </row>
    <row r="512" spans="1:10" ht="14.1" customHeight="1" thickBot="1" x14ac:dyDescent="0.25">
      <c r="A512" s="83"/>
      <c r="B512" s="62" t="s">
        <v>1786</v>
      </c>
      <c r="C512" s="60">
        <f>IF(C511="","",IF(AND(MONTH(C511)&gt;=1,MONTH(C511)&lt;=3),1,IF(AND(MONTH(C511)&gt;=4,MONTH(C511)&lt;=6),2,IF(AND(MONTH(C511)&gt;=7,MONTH(C511)&lt;=9),3,4))))</f>
        <v>1</v>
      </c>
      <c r="D512" s="83"/>
      <c r="E512" s="62" t="s">
        <v>13192</v>
      </c>
      <c r="F512" s="61" t="s">
        <v>11112</v>
      </c>
      <c r="G512" s="5"/>
      <c r="H512" s="5"/>
      <c r="I512" s="5"/>
      <c r="J512" s="5"/>
    </row>
    <row r="513" spans="1:10" ht="14.1" customHeight="1" thickBot="1" x14ac:dyDescent="0.25">
      <c r="A513" s="5"/>
      <c r="B513" s="5"/>
      <c r="C513" s="5"/>
      <c r="D513" s="5"/>
      <c r="E513" s="5"/>
      <c r="F513" s="5"/>
      <c r="G513" s="5"/>
      <c r="H513" s="5"/>
      <c r="I513" s="5"/>
      <c r="J513" s="5"/>
    </row>
    <row r="514" spans="1:10" ht="14.1" customHeight="1" thickBot="1" x14ac:dyDescent="0.25">
      <c r="A514" s="67" t="s">
        <v>15735</v>
      </c>
      <c r="B514" s="67" t="s">
        <v>16146</v>
      </c>
      <c r="C514" s="67" t="s">
        <v>15641</v>
      </c>
      <c r="D514" s="67" t="s">
        <v>15251</v>
      </c>
      <c r="E514" s="67" t="s">
        <v>6932</v>
      </c>
      <c r="F514" s="67" t="s">
        <v>15280</v>
      </c>
      <c r="G514" s="5"/>
      <c r="H514" s="5"/>
      <c r="I514" s="5"/>
      <c r="J514" s="5"/>
    </row>
    <row r="515" spans="1:10" ht="13.5" customHeight="1" x14ac:dyDescent="0.2">
      <c r="A515" s="78">
        <v>44121708</v>
      </c>
      <c r="B515" s="64" t="str">
        <f t="shared" ref="B515:B554" ca="1" si="24">IFERROR(INDEX(UNSPSCDes,MATCH(INDIRECT(ADDRESS(ROW(),COLUMN()-1,4)),UNSPSCCode,0)),"")</f>
        <v>Marcadores</v>
      </c>
      <c r="C515" s="63" t="s">
        <v>16988</v>
      </c>
      <c r="D515" s="63">
        <v>20</v>
      </c>
      <c r="E515" s="66">
        <v>140</v>
      </c>
      <c r="F515" s="65">
        <f t="shared" ref="F515:F554" ca="1" si="25">INDIRECT(ADDRESS(ROW(),COLUMN()-2,4))*INDIRECT(ADDRESS(ROW(),COLUMN()-1,4))</f>
        <v>2800</v>
      </c>
      <c r="G515" s="5"/>
      <c r="H515" s="5"/>
      <c r="I515" s="5"/>
      <c r="J515" s="5"/>
    </row>
    <row r="516" spans="1:10" ht="13.5" customHeight="1" x14ac:dyDescent="0.2">
      <c r="A516" s="78">
        <v>44121716</v>
      </c>
      <c r="B516" s="64" t="str">
        <f t="shared" ca="1" si="24"/>
        <v>Resaltadores</v>
      </c>
      <c r="C516" s="63" t="s">
        <v>16988</v>
      </c>
      <c r="D516" s="63">
        <v>15</v>
      </c>
      <c r="E516" s="66">
        <v>300</v>
      </c>
      <c r="F516" s="65">
        <f t="shared" ca="1" si="25"/>
        <v>4500</v>
      </c>
      <c r="G516" s="5"/>
      <c r="H516" s="5"/>
      <c r="I516" s="5"/>
      <c r="J516" s="5"/>
    </row>
    <row r="517" spans="1:10" ht="13.5" customHeight="1" x14ac:dyDescent="0.2">
      <c r="A517" s="78">
        <v>44121605</v>
      </c>
      <c r="B517" s="64" t="str">
        <f t="shared" ca="1" si="24"/>
        <v>Dispensadores de cinta</v>
      </c>
      <c r="C517" s="63" t="s">
        <v>1449</v>
      </c>
      <c r="D517" s="63">
        <v>15</v>
      </c>
      <c r="E517" s="66">
        <v>500</v>
      </c>
      <c r="F517" s="65">
        <f t="shared" ca="1" si="25"/>
        <v>7500</v>
      </c>
      <c r="G517" s="5"/>
      <c r="H517" s="5"/>
      <c r="I517" s="5"/>
      <c r="J517" s="5"/>
    </row>
    <row r="518" spans="1:10" ht="13.5" customHeight="1" x14ac:dyDescent="0.2">
      <c r="A518" s="78">
        <v>44121619</v>
      </c>
      <c r="B518" s="64" t="str">
        <f t="shared" ca="1" si="24"/>
        <v>Tajalápices manuales</v>
      </c>
      <c r="C518" s="63" t="s">
        <v>1449</v>
      </c>
      <c r="D518" s="63">
        <v>10</v>
      </c>
      <c r="E518" s="66">
        <v>700</v>
      </c>
      <c r="F518" s="65">
        <f t="shared" ca="1" si="25"/>
        <v>7000</v>
      </c>
      <c r="G518" s="5"/>
      <c r="H518" s="5"/>
      <c r="I518" s="5"/>
      <c r="J518" s="5"/>
    </row>
    <row r="519" spans="1:10" ht="13.5" customHeight="1" x14ac:dyDescent="0.2">
      <c r="A519" s="78">
        <v>44122107</v>
      </c>
      <c r="B519" s="64" t="str">
        <f t="shared" ca="1" si="24"/>
        <v>Grapas</v>
      </c>
      <c r="C519" s="63" t="s">
        <v>16988</v>
      </c>
      <c r="D519" s="63">
        <v>25</v>
      </c>
      <c r="E519" s="66">
        <v>40</v>
      </c>
      <c r="F519" s="65">
        <f t="shared" ca="1" si="25"/>
        <v>1000</v>
      </c>
      <c r="G519" s="5"/>
      <c r="H519" s="5"/>
      <c r="I519" s="5"/>
      <c r="J519" s="5"/>
    </row>
    <row r="520" spans="1:10" ht="13.5" customHeight="1" x14ac:dyDescent="0.2">
      <c r="A520" s="78">
        <v>44121613</v>
      </c>
      <c r="B520" s="64" t="str">
        <f t="shared" ca="1" si="24"/>
        <v>Removedores de grapas (saca ganchos)</v>
      </c>
      <c r="C520" s="63" t="s">
        <v>1449</v>
      </c>
      <c r="D520" s="63">
        <v>10</v>
      </c>
      <c r="E520" s="66">
        <v>35</v>
      </c>
      <c r="F520" s="65">
        <f t="shared" ca="1" si="25"/>
        <v>350</v>
      </c>
      <c r="G520" s="5"/>
      <c r="H520" s="5"/>
      <c r="I520" s="5"/>
      <c r="J520" s="5"/>
    </row>
    <row r="521" spans="1:10" ht="13.5" customHeight="1" x14ac:dyDescent="0.2">
      <c r="A521" s="78">
        <v>44121615</v>
      </c>
      <c r="B521" s="64" t="str">
        <f t="shared" ca="1" si="24"/>
        <v>Grapadoras</v>
      </c>
      <c r="C521" s="63" t="s">
        <v>1449</v>
      </c>
      <c r="D521" s="63">
        <v>10</v>
      </c>
      <c r="E521" s="66">
        <v>900</v>
      </c>
      <c r="F521" s="65">
        <f t="shared" ca="1" si="25"/>
        <v>9000</v>
      </c>
      <c r="G521" s="5"/>
      <c r="H521" s="5"/>
      <c r="I521" s="5"/>
      <c r="J521" s="5"/>
    </row>
    <row r="522" spans="1:10" ht="13.5" customHeight="1" x14ac:dyDescent="0.2">
      <c r="A522" s="78">
        <v>44121618</v>
      </c>
      <c r="B522" s="64" t="str">
        <f t="shared" ca="1" si="24"/>
        <v>Tijeras</v>
      </c>
      <c r="C522" s="63" t="s">
        <v>1449</v>
      </c>
      <c r="D522" s="63">
        <v>16</v>
      </c>
      <c r="E522" s="66">
        <v>50</v>
      </c>
      <c r="F522" s="65">
        <f t="shared" ca="1" si="25"/>
        <v>800</v>
      </c>
      <c r="G522" s="5"/>
      <c r="H522" s="5"/>
      <c r="I522" s="5"/>
      <c r="J522" s="5"/>
    </row>
    <row r="523" spans="1:10" ht="13.5" customHeight="1" x14ac:dyDescent="0.2">
      <c r="A523" s="78">
        <v>44122104</v>
      </c>
      <c r="B523" s="64" t="str">
        <f t="shared" ca="1" si="24"/>
        <v>Clips para papel</v>
      </c>
      <c r="C523" s="63" t="s">
        <v>16988</v>
      </c>
      <c r="D523" s="63">
        <v>26</v>
      </c>
      <c r="E523" s="66">
        <v>35</v>
      </c>
      <c r="F523" s="65">
        <f t="shared" ca="1" si="25"/>
        <v>910</v>
      </c>
      <c r="G523" s="5"/>
      <c r="H523" s="5"/>
      <c r="I523" s="5"/>
      <c r="J523" s="5"/>
    </row>
    <row r="524" spans="1:10" ht="13.5" customHeight="1" x14ac:dyDescent="0.2">
      <c r="A524" s="78">
        <v>44122105</v>
      </c>
      <c r="B524" s="64" t="str">
        <f t="shared" ca="1" si="24"/>
        <v>Clips para carpetas o bulldog</v>
      </c>
      <c r="C524" s="63" t="s">
        <v>16988</v>
      </c>
      <c r="D524" s="63">
        <v>30</v>
      </c>
      <c r="E524" s="66">
        <v>60</v>
      </c>
      <c r="F524" s="65">
        <f t="shared" ca="1" si="25"/>
        <v>1800</v>
      </c>
      <c r="G524" s="5"/>
      <c r="H524" s="5"/>
      <c r="I524" s="5"/>
      <c r="J524" s="5"/>
    </row>
    <row r="525" spans="1:10" ht="13.5" customHeight="1" x14ac:dyDescent="0.2">
      <c r="A525" s="78">
        <v>44121628</v>
      </c>
      <c r="B525" s="64" t="str">
        <f t="shared" ca="1" si="24"/>
        <v>Contenedores o dispensadores de clips</v>
      </c>
      <c r="C525" s="63" t="s">
        <v>1449</v>
      </c>
      <c r="D525" s="63">
        <v>13</v>
      </c>
      <c r="E525" s="66">
        <v>70</v>
      </c>
      <c r="F525" s="65">
        <f t="shared" ca="1" si="25"/>
        <v>910</v>
      </c>
      <c r="G525" s="5"/>
      <c r="H525" s="5"/>
      <c r="I525" s="5"/>
      <c r="J525" s="5"/>
    </row>
    <row r="526" spans="1:10" ht="13.5" customHeight="1" x14ac:dyDescent="0.2">
      <c r="A526" s="78">
        <v>44121802</v>
      </c>
      <c r="B526" s="64" t="str">
        <f t="shared" ca="1" si="24"/>
        <v>Fluido de corrección</v>
      </c>
      <c r="C526" s="63" t="s">
        <v>16988</v>
      </c>
      <c r="D526" s="63">
        <v>20</v>
      </c>
      <c r="E526" s="66">
        <v>40</v>
      </c>
      <c r="F526" s="65">
        <f t="shared" ca="1" si="25"/>
        <v>800</v>
      </c>
      <c r="G526" s="5"/>
      <c r="H526" s="5"/>
      <c r="I526" s="5"/>
      <c r="J526" s="5"/>
    </row>
    <row r="527" spans="1:10" ht="13.5" customHeight="1" x14ac:dyDescent="0.2">
      <c r="A527" s="78">
        <v>44122017</v>
      </c>
      <c r="B527" s="64" t="str">
        <f t="shared" ca="1" si="24"/>
        <v>Folders de colgar o accesorios</v>
      </c>
      <c r="C527" s="63" t="s">
        <v>16988</v>
      </c>
      <c r="D527" s="63">
        <v>11</v>
      </c>
      <c r="E527" s="66">
        <v>2500</v>
      </c>
      <c r="F527" s="65">
        <f t="shared" ca="1" si="25"/>
        <v>27500</v>
      </c>
      <c r="G527" s="5"/>
      <c r="H527" s="5"/>
      <c r="I527" s="5"/>
      <c r="J527" s="5"/>
    </row>
    <row r="528" spans="1:10" ht="13.5" customHeight="1" x14ac:dyDescent="0.2">
      <c r="A528" s="78">
        <v>44122011</v>
      </c>
      <c r="B528" s="64" t="str">
        <f t="shared" ca="1" si="24"/>
        <v>Folders</v>
      </c>
      <c r="C528" s="63" t="s">
        <v>16988</v>
      </c>
      <c r="D528" s="63">
        <v>15</v>
      </c>
      <c r="E528" s="66">
        <v>2000</v>
      </c>
      <c r="F528" s="65">
        <f t="shared" ca="1" si="25"/>
        <v>30000</v>
      </c>
      <c r="G528" s="5"/>
      <c r="H528" s="5"/>
      <c r="I528" s="5"/>
      <c r="J528" s="5"/>
    </row>
    <row r="529" spans="1:10" ht="13.5" customHeight="1" x14ac:dyDescent="0.2">
      <c r="A529" s="78">
        <v>44121706</v>
      </c>
      <c r="B529" s="64" t="str">
        <f t="shared" ca="1" si="24"/>
        <v>Lápices de madera</v>
      </c>
      <c r="C529" s="63" t="s">
        <v>16988</v>
      </c>
      <c r="D529" s="63">
        <v>34</v>
      </c>
      <c r="E529" s="66">
        <v>50</v>
      </c>
      <c r="F529" s="65">
        <f t="shared" ca="1" si="25"/>
        <v>1700</v>
      </c>
      <c r="G529" s="5"/>
      <c r="H529" s="5"/>
      <c r="I529" s="5"/>
      <c r="J529" s="5"/>
    </row>
    <row r="530" spans="1:10" ht="13.5" customHeight="1" x14ac:dyDescent="0.2">
      <c r="A530" s="78">
        <v>44121701</v>
      </c>
      <c r="B530" s="64" t="str">
        <f t="shared" ca="1" si="24"/>
        <v>Bolígrafos</v>
      </c>
      <c r="C530" s="63" t="s">
        <v>16988</v>
      </c>
      <c r="D530" s="63">
        <v>35</v>
      </c>
      <c r="E530" s="66">
        <v>45</v>
      </c>
      <c r="F530" s="65">
        <f t="shared" ca="1" si="25"/>
        <v>1575</v>
      </c>
      <c r="G530" s="5"/>
      <c r="H530" s="5"/>
      <c r="I530" s="5"/>
      <c r="J530" s="5"/>
    </row>
    <row r="531" spans="1:10" ht="13.5" customHeight="1" x14ac:dyDescent="0.2">
      <c r="A531" s="78">
        <v>44122018</v>
      </c>
      <c r="B531" s="64" t="str">
        <f t="shared" ca="1" si="24"/>
        <v>Insertos o pestañas para archivos</v>
      </c>
      <c r="C531" s="63" t="s">
        <v>16988</v>
      </c>
      <c r="D531" s="63">
        <v>25</v>
      </c>
      <c r="E531" s="66">
        <v>50</v>
      </c>
      <c r="F531" s="65">
        <f t="shared" ca="1" si="25"/>
        <v>1250</v>
      </c>
      <c r="G531" s="5"/>
      <c r="H531" s="5"/>
      <c r="I531" s="5"/>
      <c r="J531" s="5"/>
    </row>
    <row r="532" spans="1:10" ht="13.5" customHeight="1" x14ac:dyDescent="0.2">
      <c r="A532" s="78">
        <v>44121503</v>
      </c>
      <c r="B532" s="64" t="str">
        <f t="shared" ca="1" si="24"/>
        <v>Sobres</v>
      </c>
      <c r="C532" s="63" t="s">
        <v>16988</v>
      </c>
      <c r="D532" s="63">
        <v>31</v>
      </c>
      <c r="E532" s="66">
        <v>400</v>
      </c>
      <c r="F532" s="65">
        <f t="shared" ca="1" si="25"/>
        <v>12400</v>
      </c>
      <c r="G532" s="5"/>
      <c r="H532" s="5"/>
      <c r="I532" s="5"/>
      <c r="J532" s="5"/>
    </row>
    <row r="533" spans="1:10" ht="13.5" customHeight="1" x14ac:dyDescent="0.2">
      <c r="A533" s="78">
        <v>44122003</v>
      </c>
      <c r="B533" s="64" t="str">
        <f t="shared" ca="1" si="24"/>
        <v>Carpetas</v>
      </c>
      <c r="C533" s="63" t="s">
        <v>16988</v>
      </c>
      <c r="D533" s="63">
        <v>31</v>
      </c>
      <c r="E533" s="66">
        <v>500</v>
      </c>
      <c r="F533" s="65">
        <f t="shared" ca="1" si="25"/>
        <v>15500</v>
      </c>
      <c r="G533" s="5"/>
      <c r="H533" s="5"/>
      <c r="I533" s="5"/>
      <c r="J533" s="5"/>
    </row>
    <row r="534" spans="1:10" ht="13.5" customHeight="1" x14ac:dyDescent="0.2">
      <c r="A534" s="78">
        <v>44121804</v>
      </c>
      <c r="B534" s="64" t="str">
        <f t="shared" ca="1" si="24"/>
        <v>Borradores</v>
      </c>
      <c r="C534" s="63" t="s">
        <v>1449</v>
      </c>
      <c r="D534" s="63">
        <v>9</v>
      </c>
      <c r="E534" s="66">
        <v>10</v>
      </c>
      <c r="F534" s="65">
        <f t="shared" ca="1" si="25"/>
        <v>90</v>
      </c>
      <c r="G534" s="5"/>
      <c r="H534" s="5"/>
      <c r="I534" s="5"/>
      <c r="J534" s="5"/>
    </row>
    <row r="535" spans="1:10" ht="13.5" customHeight="1" x14ac:dyDescent="0.2">
      <c r="A535" s="78">
        <v>44121611</v>
      </c>
      <c r="B535" s="64" t="str">
        <f t="shared" ca="1" si="24"/>
        <v>Punzones para papel u ojales</v>
      </c>
      <c r="C535" s="63" t="s">
        <v>16988</v>
      </c>
      <c r="D535" s="63">
        <v>36</v>
      </c>
      <c r="E535" s="66">
        <v>100</v>
      </c>
      <c r="F535" s="65">
        <f t="shared" ca="1" si="25"/>
        <v>3600</v>
      </c>
      <c r="G535" s="5"/>
      <c r="H535" s="5"/>
      <c r="I535" s="5"/>
      <c r="J535" s="5"/>
    </row>
    <row r="536" spans="1:10" ht="13.5" customHeight="1" x14ac:dyDescent="0.2">
      <c r="A536" s="78">
        <v>44122101</v>
      </c>
      <c r="B536" s="64" t="str">
        <f t="shared" ca="1" si="24"/>
        <v>Cauchos</v>
      </c>
      <c r="C536" s="63" t="s">
        <v>16988</v>
      </c>
      <c r="D536" s="63">
        <v>10</v>
      </c>
      <c r="E536" s="66">
        <v>40</v>
      </c>
      <c r="F536" s="65">
        <f t="shared" ca="1" si="25"/>
        <v>400</v>
      </c>
      <c r="G536" s="5"/>
      <c r="H536" s="5"/>
      <c r="I536" s="5"/>
      <c r="J536" s="5"/>
    </row>
    <row r="537" spans="1:10" ht="13.5" customHeight="1" x14ac:dyDescent="0.2">
      <c r="A537" s="78">
        <v>44121904</v>
      </c>
      <c r="B537" s="64" t="str">
        <f t="shared" ca="1" si="24"/>
        <v>Repuestos de tinta</v>
      </c>
      <c r="C537" s="63" t="s">
        <v>1449</v>
      </c>
      <c r="D537" s="63">
        <v>5</v>
      </c>
      <c r="E537" s="66">
        <v>250</v>
      </c>
      <c r="F537" s="65">
        <f t="shared" ca="1" si="25"/>
        <v>1250</v>
      </c>
      <c r="G537" s="5"/>
      <c r="H537" s="5"/>
      <c r="I537" s="5"/>
      <c r="J537" s="5"/>
    </row>
    <row r="538" spans="1:10" ht="13.5" customHeight="1" x14ac:dyDescent="0.2">
      <c r="A538" s="78">
        <v>44122027</v>
      </c>
      <c r="B538" s="64" t="str">
        <f t="shared" ca="1" si="24"/>
        <v>Folders de archivo expandibles</v>
      </c>
      <c r="C538" s="63" t="s">
        <v>1449</v>
      </c>
      <c r="D538" s="63">
        <v>2</v>
      </c>
      <c r="E538" s="66">
        <v>200</v>
      </c>
      <c r="F538" s="65">
        <f t="shared" ca="1" si="25"/>
        <v>400</v>
      </c>
      <c r="G538" s="5"/>
      <c r="H538" s="5"/>
      <c r="I538" s="5"/>
      <c r="J538" s="5"/>
    </row>
    <row r="539" spans="1:10" ht="13.5" customHeight="1" x14ac:dyDescent="0.2">
      <c r="A539" s="78">
        <v>44122025</v>
      </c>
      <c r="B539" s="64" t="str">
        <f t="shared" ca="1" si="24"/>
        <v>Bolsillos de carpetas o accesorios</v>
      </c>
      <c r="C539" s="63" t="s">
        <v>16988</v>
      </c>
      <c r="D539" s="63">
        <v>30</v>
      </c>
      <c r="E539" s="66">
        <v>600</v>
      </c>
      <c r="F539" s="65">
        <f t="shared" ca="1" si="25"/>
        <v>18000</v>
      </c>
      <c r="G539" s="5"/>
      <c r="H539" s="5"/>
      <c r="I539" s="5"/>
      <c r="J539" s="5"/>
    </row>
    <row r="540" spans="1:10" ht="13.5" customHeight="1" x14ac:dyDescent="0.2">
      <c r="A540" s="78">
        <v>31201610</v>
      </c>
      <c r="B540" s="64" t="str">
        <f t="shared" ca="1" si="24"/>
        <v>Pegamentos</v>
      </c>
      <c r="C540" s="63" t="s">
        <v>1449</v>
      </c>
      <c r="D540" s="63">
        <v>15</v>
      </c>
      <c r="E540" s="66">
        <v>300</v>
      </c>
      <c r="F540" s="65">
        <f t="shared" ca="1" si="25"/>
        <v>4500</v>
      </c>
      <c r="G540" s="5"/>
      <c r="H540" s="5"/>
      <c r="I540" s="5"/>
      <c r="J540" s="5"/>
    </row>
    <row r="541" spans="1:10" ht="13.5" customHeight="1" x14ac:dyDescent="0.2">
      <c r="A541" s="78">
        <v>31201512</v>
      </c>
      <c r="B541" s="64" t="str">
        <f t="shared" ca="1" si="24"/>
        <v>Cinta transparente</v>
      </c>
      <c r="C541" s="63" t="s">
        <v>1449</v>
      </c>
      <c r="D541" s="63">
        <v>28</v>
      </c>
      <c r="E541" s="66">
        <v>100</v>
      </c>
      <c r="F541" s="65">
        <f t="shared" ca="1" si="25"/>
        <v>2800</v>
      </c>
      <c r="G541" s="5"/>
      <c r="H541" s="5"/>
      <c r="I541" s="5"/>
      <c r="J541" s="5"/>
    </row>
    <row r="542" spans="1:10" ht="13.5" customHeight="1" x14ac:dyDescent="0.2">
      <c r="A542" s="57">
        <v>41111604</v>
      </c>
      <c r="B542" s="64" t="str">
        <f t="shared" ca="1" si="24"/>
        <v>Reglas</v>
      </c>
      <c r="C542" s="63" t="s">
        <v>1449</v>
      </c>
      <c r="D542" s="63">
        <v>13</v>
      </c>
      <c r="E542" s="66">
        <v>50</v>
      </c>
      <c r="F542" s="65">
        <f t="shared" ca="1" si="25"/>
        <v>650</v>
      </c>
      <c r="G542" s="5"/>
      <c r="H542" s="5"/>
      <c r="I542" s="5"/>
      <c r="J542" s="5"/>
    </row>
    <row r="543" spans="1:10" ht="13.5" customHeight="1" x14ac:dyDescent="0.2">
      <c r="A543" s="78">
        <v>44122121</v>
      </c>
      <c r="B543" s="64" t="str">
        <f t="shared" ca="1" si="24"/>
        <v>Clips de pared o tablero</v>
      </c>
      <c r="C543" s="63" t="s">
        <v>16988</v>
      </c>
      <c r="D543" s="63">
        <v>6</v>
      </c>
      <c r="E543" s="66">
        <v>800</v>
      </c>
      <c r="F543" s="65">
        <f t="shared" ca="1" si="25"/>
        <v>4800</v>
      </c>
      <c r="G543" s="5"/>
      <c r="H543" s="5"/>
      <c r="I543" s="5"/>
      <c r="J543" s="5"/>
    </row>
    <row r="544" spans="1:10" ht="13.5" customHeight="1" x14ac:dyDescent="0.2">
      <c r="A544" s="78">
        <v>44111611</v>
      </c>
      <c r="B544" s="64" t="str">
        <f t="shared" ca="1" si="24"/>
        <v>Clips para billetes</v>
      </c>
      <c r="C544" s="63" t="s">
        <v>16988</v>
      </c>
      <c r="D544" s="63">
        <v>6</v>
      </c>
      <c r="E544" s="66">
        <v>600</v>
      </c>
      <c r="F544" s="65">
        <f t="shared" ca="1" si="25"/>
        <v>3600</v>
      </c>
      <c r="G544" s="5"/>
      <c r="H544" s="5"/>
      <c r="I544" s="5"/>
      <c r="J544" s="5"/>
    </row>
    <row r="545" spans="1:10" ht="13.5" customHeight="1" x14ac:dyDescent="0.2">
      <c r="A545" s="78">
        <v>14111530</v>
      </c>
      <c r="B545" s="64" t="str">
        <f t="shared" ca="1" si="24"/>
        <v>Papel de notas autoadhesivas</v>
      </c>
      <c r="C545" s="63" t="s">
        <v>4735</v>
      </c>
      <c r="D545" s="63">
        <v>200</v>
      </c>
      <c r="E545" s="66">
        <v>60</v>
      </c>
      <c r="F545" s="65">
        <f t="shared" ca="1" si="25"/>
        <v>12000</v>
      </c>
      <c r="G545" s="5"/>
      <c r="H545" s="5"/>
      <c r="I545" s="5"/>
      <c r="J545" s="5"/>
    </row>
    <row r="546" spans="1:10" ht="13.5" customHeight="1" x14ac:dyDescent="0.2">
      <c r="A546" s="78">
        <v>14111515</v>
      </c>
      <c r="B546" s="64" t="str">
        <f t="shared" ca="1" si="24"/>
        <v>Papel para sumadora o máquina registradora</v>
      </c>
      <c r="C546" s="63" t="s">
        <v>1449</v>
      </c>
      <c r="D546" s="63">
        <v>250</v>
      </c>
      <c r="E546" s="66">
        <v>90</v>
      </c>
      <c r="F546" s="65">
        <f t="shared" ca="1" si="25"/>
        <v>22500</v>
      </c>
      <c r="G546" s="5"/>
      <c r="H546" s="5"/>
      <c r="I546" s="5"/>
      <c r="J546" s="5"/>
    </row>
    <row r="547" spans="1:10" ht="13.5" customHeight="1" x14ac:dyDescent="0.2">
      <c r="A547" s="78">
        <v>14111507</v>
      </c>
      <c r="B547" s="64" t="str">
        <f t="shared" ca="1" si="24"/>
        <v>Papel para impresora o fotocopiadora</v>
      </c>
      <c r="C547" s="63" t="s">
        <v>8725</v>
      </c>
      <c r="D547" s="63">
        <v>600</v>
      </c>
      <c r="E547" s="66">
        <v>200</v>
      </c>
      <c r="F547" s="65">
        <f t="shared" ca="1" si="25"/>
        <v>120000</v>
      </c>
      <c r="G547" s="5"/>
      <c r="H547" s="5"/>
      <c r="I547" s="5"/>
      <c r="J547" s="5"/>
    </row>
    <row r="548" spans="1:10" ht="13.5" customHeight="1" x14ac:dyDescent="0.2">
      <c r="A548" s="78">
        <v>14111526</v>
      </c>
      <c r="B548" s="64" t="str">
        <f t="shared" ca="1" si="24"/>
        <v>Papel libretas o libros de mensajes telefónicos</v>
      </c>
      <c r="C548" s="63" t="s">
        <v>1449</v>
      </c>
      <c r="D548" s="63">
        <v>137</v>
      </c>
      <c r="E548" s="66">
        <v>500</v>
      </c>
      <c r="F548" s="65">
        <f t="shared" ca="1" si="25"/>
        <v>68500</v>
      </c>
      <c r="G548" s="5"/>
      <c r="H548" s="5"/>
      <c r="I548" s="5"/>
      <c r="J548" s="5"/>
    </row>
    <row r="549" spans="1:10" ht="13.5" customHeight="1" x14ac:dyDescent="0.2">
      <c r="A549" s="78">
        <v>14111514</v>
      </c>
      <c r="B549" s="64" t="str">
        <f t="shared" ca="1" si="24"/>
        <v>Blocs o cuadernos de papel</v>
      </c>
      <c r="C549" s="63" t="s">
        <v>4735</v>
      </c>
      <c r="D549" s="63">
        <v>300</v>
      </c>
      <c r="E549" s="66">
        <v>300</v>
      </c>
      <c r="F549" s="65">
        <f t="shared" ca="1" si="25"/>
        <v>90000</v>
      </c>
      <c r="G549" s="5"/>
      <c r="H549" s="5"/>
      <c r="I549" s="5"/>
      <c r="J549" s="5"/>
    </row>
    <row r="550" spans="1:10" ht="13.5" customHeight="1" x14ac:dyDescent="0.2">
      <c r="A550" s="78">
        <v>14111537</v>
      </c>
      <c r="B550" s="64" t="str">
        <f t="shared" ca="1" si="24"/>
        <v>Etiquetas de papel</v>
      </c>
      <c r="C550" s="63" t="s">
        <v>4735</v>
      </c>
      <c r="D550" s="63">
        <v>200</v>
      </c>
      <c r="E550" s="66">
        <v>350</v>
      </c>
      <c r="F550" s="65">
        <f t="shared" ca="1" si="25"/>
        <v>70000</v>
      </c>
      <c r="G550" s="5"/>
      <c r="H550" s="5"/>
      <c r="I550" s="5"/>
      <c r="J550" s="5"/>
    </row>
    <row r="551" spans="1:10" ht="13.5" customHeight="1" x14ac:dyDescent="0.2">
      <c r="A551" s="78">
        <v>14111813</v>
      </c>
      <c r="B551" s="64" t="str">
        <f t="shared" ca="1" si="24"/>
        <v>Formatos o libros de correspondencia</v>
      </c>
      <c r="C551" s="63" t="s">
        <v>1449</v>
      </c>
      <c r="D551" s="63">
        <v>125</v>
      </c>
      <c r="E551" s="66">
        <v>900</v>
      </c>
      <c r="F551" s="65">
        <f t="shared" ca="1" si="25"/>
        <v>112500</v>
      </c>
      <c r="G551" s="5"/>
      <c r="H551" s="5"/>
      <c r="I551" s="5"/>
      <c r="J551" s="5"/>
    </row>
    <row r="552" spans="1:10" ht="13.5" customHeight="1" x14ac:dyDescent="0.2">
      <c r="A552" s="78">
        <v>14111610</v>
      </c>
      <c r="B552" s="64" t="str">
        <f t="shared" ca="1" si="24"/>
        <v>Papel de construcción</v>
      </c>
      <c r="C552" s="63" t="s">
        <v>8725</v>
      </c>
      <c r="D552" s="63">
        <v>150</v>
      </c>
      <c r="E552" s="66">
        <v>300</v>
      </c>
      <c r="F552" s="65">
        <f t="shared" ca="1" si="25"/>
        <v>45000</v>
      </c>
      <c r="G552" s="5"/>
      <c r="H552" s="5"/>
      <c r="I552" s="5"/>
      <c r="J552" s="5"/>
    </row>
    <row r="553" spans="1:10" ht="13.5" customHeight="1" x14ac:dyDescent="0.2">
      <c r="A553" s="78">
        <v>14111519</v>
      </c>
      <c r="B553" s="64" t="str">
        <f t="shared" ca="1" si="24"/>
        <v>Papeles cartulina</v>
      </c>
      <c r="C553" s="63" t="s">
        <v>1449</v>
      </c>
      <c r="D553" s="63">
        <v>200</v>
      </c>
      <c r="E553" s="66">
        <v>100</v>
      </c>
      <c r="F553" s="65">
        <f t="shared" ca="1" si="25"/>
        <v>20000</v>
      </c>
      <c r="G553" s="5"/>
      <c r="H553" s="5"/>
      <c r="I553" s="5"/>
      <c r="J553" s="5"/>
    </row>
    <row r="554" spans="1:10" ht="13.5" customHeight="1" x14ac:dyDescent="0.2">
      <c r="A554" s="78">
        <v>14111523</v>
      </c>
      <c r="B554" s="64" t="str">
        <f t="shared" ca="1" si="24"/>
        <v>Papel calcante</v>
      </c>
      <c r="C554" s="63" t="s">
        <v>16988</v>
      </c>
      <c r="D554" s="63">
        <v>20</v>
      </c>
      <c r="E554" s="66">
        <v>100</v>
      </c>
      <c r="F554" s="65">
        <f t="shared" ca="1" si="25"/>
        <v>2000</v>
      </c>
      <c r="G554" s="5"/>
      <c r="H554" s="5"/>
      <c r="I554" s="5"/>
      <c r="J554" s="5"/>
    </row>
    <row r="555" spans="1:10" ht="14.1" customHeight="1" x14ac:dyDescent="0.2">
      <c r="A555" s="5"/>
      <c r="B555" s="5"/>
      <c r="C555" s="5"/>
      <c r="D555" s="5"/>
      <c r="E555" s="68" t="s">
        <v>12550</v>
      </c>
      <c r="F555" s="69">
        <f ca="1">SUM(Table37[MONTO TOTAL ESTIMADO])</f>
        <v>729885</v>
      </c>
      <c r="G555" s="5"/>
      <c r="H555" s="5" t="str">
        <f>C508</f>
        <v>Bienes</v>
      </c>
      <c r="I555" s="5" t="str">
        <f>E508</f>
        <v>Sí</v>
      </c>
      <c r="J555" s="5" t="str">
        <f>D508</f>
        <v>Compras Menores</v>
      </c>
    </row>
    <row r="556" spans="1:10" ht="14.1" customHeight="1" thickBot="1" x14ac:dyDescent="0.3"/>
    <row r="557" spans="1:10" ht="33.75" customHeight="1" thickBot="1" x14ac:dyDescent="0.25">
      <c r="A557" s="59" t="s">
        <v>16382</v>
      </c>
      <c r="B557" s="59" t="s">
        <v>161</v>
      </c>
      <c r="C557" s="59" t="s">
        <v>11724</v>
      </c>
      <c r="D557" s="59" t="s">
        <v>14378</v>
      </c>
      <c r="E557" s="59" t="s">
        <v>10962</v>
      </c>
      <c r="F557" s="59" t="s">
        <v>11095</v>
      </c>
      <c r="G557" s="5"/>
      <c r="H557" s="5"/>
      <c r="I557" s="5"/>
      <c r="J557" s="5"/>
    </row>
    <row r="558" spans="1:10" ht="13.5" customHeight="1" thickBot="1" x14ac:dyDescent="0.25">
      <c r="A558" s="77" t="s">
        <v>18850</v>
      </c>
      <c r="B558" s="77" t="s">
        <v>18848</v>
      </c>
      <c r="C558" s="61" t="s">
        <v>17797</v>
      </c>
      <c r="D558" s="61" t="s">
        <v>17482</v>
      </c>
      <c r="E558" s="61" t="s">
        <v>8854</v>
      </c>
      <c r="F558" s="61"/>
      <c r="G558" s="5"/>
      <c r="H558" s="5"/>
      <c r="I558" s="5"/>
      <c r="J558" s="5"/>
    </row>
    <row r="559" spans="1:10" ht="14.1" customHeight="1" thickBot="1" x14ac:dyDescent="0.25">
      <c r="A559" s="82" t="s">
        <v>14828</v>
      </c>
      <c r="B559" s="62" t="s">
        <v>8528</v>
      </c>
      <c r="C559" s="71">
        <v>43922</v>
      </c>
      <c r="D559" s="82" t="s">
        <v>9385</v>
      </c>
      <c r="E559" s="62" t="s">
        <v>13093</v>
      </c>
      <c r="F559" s="61" t="s">
        <v>3080</v>
      </c>
      <c r="G559" s="5"/>
      <c r="H559" s="5"/>
      <c r="I559" s="5"/>
      <c r="J559" s="5"/>
    </row>
    <row r="560" spans="1:10" ht="14.1" customHeight="1" thickBot="1" x14ac:dyDescent="0.25">
      <c r="A560" s="83"/>
      <c r="B560" s="62" t="s">
        <v>1786</v>
      </c>
      <c r="C560" s="60">
        <f>IF(C559="","",IF(AND(MONTH(C559)&gt;=1,MONTH(C559)&lt;=3),1,IF(AND(MONTH(C559)&gt;=4,MONTH(C559)&lt;=6),2,IF(AND(MONTH(C559)&gt;=7,MONTH(C559)&lt;=9),3,4))))</f>
        <v>2</v>
      </c>
      <c r="D560" s="83"/>
      <c r="E560" s="62" t="s">
        <v>2417</v>
      </c>
      <c r="F560" s="61" t="s">
        <v>11112</v>
      </c>
      <c r="G560" s="5"/>
      <c r="H560" s="5"/>
      <c r="I560" s="5"/>
      <c r="J560" s="5"/>
    </row>
    <row r="561" spans="1:10" ht="14.1" customHeight="1" thickBot="1" x14ac:dyDescent="0.25">
      <c r="A561" s="83"/>
      <c r="B561" s="62" t="s">
        <v>12942</v>
      </c>
      <c r="C561" s="71">
        <v>44012</v>
      </c>
      <c r="D561" s="83"/>
      <c r="E561" s="62" t="s">
        <v>3073</v>
      </c>
      <c r="F561" s="61" t="s">
        <v>11112</v>
      </c>
      <c r="G561" s="5"/>
      <c r="H561" s="5"/>
      <c r="I561" s="5"/>
      <c r="J561" s="5"/>
    </row>
    <row r="562" spans="1:10" ht="14.1" customHeight="1" thickBot="1" x14ac:dyDescent="0.25">
      <c r="A562" s="83"/>
      <c r="B562" s="62" t="s">
        <v>1786</v>
      </c>
      <c r="C562" s="60">
        <f>IF(C561="","",IF(AND(MONTH(C561)&gt;=1,MONTH(C561)&lt;=3),1,IF(AND(MONTH(C561)&gt;=4,MONTH(C561)&lt;=6),2,IF(AND(MONTH(C561)&gt;=7,MONTH(C561)&lt;=9),3,4))))</f>
        <v>2</v>
      </c>
      <c r="D562" s="83"/>
      <c r="E562" s="62" t="s">
        <v>13192</v>
      </c>
      <c r="F562" s="61" t="s">
        <v>11112</v>
      </c>
      <c r="G562" s="5"/>
      <c r="H562" s="5"/>
      <c r="I562" s="5"/>
      <c r="J562" s="5"/>
    </row>
    <row r="563" spans="1:10" ht="14.1" customHeight="1" thickBot="1" x14ac:dyDescent="0.25">
      <c r="A563" s="5"/>
      <c r="B563" s="5"/>
      <c r="C563" s="5"/>
      <c r="D563" s="5"/>
      <c r="E563" s="5"/>
      <c r="F563" s="5"/>
      <c r="G563" s="5"/>
      <c r="H563" s="5"/>
      <c r="I563" s="5"/>
      <c r="J563" s="5"/>
    </row>
    <row r="564" spans="1:10" ht="14.1" customHeight="1" thickBot="1" x14ac:dyDescent="0.25">
      <c r="A564" s="67" t="s">
        <v>15735</v>
      </c>
      <c r="B564" s="67" t="s">
        <v>16146</v>
      </c>
      <c r="C564" s="67" t="s">
        <v>15641</v>
      </c>
      <c r="D564" s="67" t="s">
        <v>15251</v>
      </c>
      <c r="E564" s="67" t="s">
        <v>6932</v>
      </c>
      <c r="F564" s="67" t="s">
        <v>15280</v>
      </c>
      <c r="G564" s="5"/>
      <c r="H564" s="5"/>
      <c r="I564" s="5"/>
      <c r="J564" s="5"/>
    </row>
    <row r="565" spans="1:10" ht="13.5" customHeight="1" x14ac:dyDescent="0.2">
      <c r="A565" s="78">
        <v>44121708</v>
      </c>
      <c r="B565" s="64" t="str">
        <f t="shared" ref="B565:B603" ca="1" si="26">IFERROR(INDEX(UNSPSCDes,MATCH(INDIRECT(ADDRESS(ROW(),COLUMN()-1,4)),UNSPSCCode,0)),"")</f>
        <v>Marcadores</v>
      </c>
      <c r="C565" s="63" t="s">
        <v>16988</v>
      </c>
      <c r="D565" s="63">
        <v>20</v>
      </c>
      <c r="E565" s="66">
        <v>140</v>
      </c>
      <c r="F565" s="65">
        <f t="shared" ref="F565:F603" ca="1" si="27">INDIRECT(ADDRESS(ROW(),COLUMN()-2,4))*INDIRECT(ADDRESS(ROW(),COLUMN()-1,4))</f>
        <v>2800</v>
      </c>
      <c r="G565" s="5"/>
      <c r="H565" s="5"/>
      <c r="I565" s="5"/>
      <c r="J565" s="5"/>
    </row>
    <row r="566" spans="1:10" ht="13.5" customHeight="1" x14ac:dyDescent="0.2">
      <c r="A566" s="78">
        <v>44121716</v>
      </c>
      <c r="B566" s="64" t="str">
        <f t="shared" ca="1" si="26"/>
        <v>Resaltadores</v>
      </c>
      <c r="C566" s="63" t="s">
        <v>16988</v>
      </c>
      <c r="D566" s="63">
        <v>20</v>
      </c>
      <c r="E566" s="66">
        <v>300</v>
      </c>
      <c r="F566" s="65">
        <f t="shared" ca="1" si="27"/>
        <v>6000</v>
      </c>
      <c r="G566" s="5"/>
      <c r="H566" s="5"/>
      <c r="I566" s="5"/>
      <c r="J566" s="5"/>
    </row>
    <row r="567" spans="1:10" ht="13.5" customHeight="1" x14ac:dyDescent="0.2">
      <c r="A567" s="78">
        <v>44121605</v>
      </c>
      <c r="B567" s="64" t="str">
        <f t="shared" ca="1" si="26"/>
        <v>Dispensadores de cinta</v>
      </c>
      <c r="C567" s="63" t="s">
        <v>1449</v>
      </c>
      <c r="D567" s="63">
        <v>9</v>
      </c>
      <c r="E567" s="66">
        <v>500</v>
      </c>
      <c r="F567" s="65">
        <f t="shared" ca="1" si="27"/>
        <v>4500</v>
      </c>
      <c r="G567" s="5"/>
      <c r="H567" s="5"/>
      <c r="I567" s="5"/>
      <c r="J567" s="5"/>
    </row>
    <row r="568" spans="1:10" ht="13.5" customHeight="1" x14ac:dyDescent="0.2">
      <c r="A568" s="78">
        <v>44121619</v>
      </c>
      <c r="B568" s="64" t="str">
        <f t="shared" ca="1" si="26"/>
        <v>Tajalápices manuales</v>
      </c>
      <c r="C568" s="63" t="s">
        <v>1449</v>
      </c>
      <c r="D568" s="63">
        <v>9</v>
      </c>
      <c r="E568" s="66">
        <v>700</v>
      </c>
      <c r="F568" s="65">
        <f t="shared" ca="1" si="27"/>
        <v>6300</v>
      </c>
      <c r="G568" s="5"/>
      <c r="H568" s="5"/>
      <c r="I568" s="5"/>
      <c r="J568" s="5"/>
    </row>
    <row r="569" spans="1:10" ht="13.5" customHeight="1" x14ac:dyDescent="0.2">
      <c r="A569" s="78">
        <v>44122107</v>
      </c>
      <c r="B569" s="64" t="str">
        <f t="shared" ca="1" si="26"/>
        <v>Grapas</v>
      </c>
      <c r="C569" s="63" t="s">
        <v>16988</v>
      </c>
      <c r="D569" s="63">
        <v>20</v>
      </c>
      <c r="E569" s="66">
        <v>40</v>
      </c>
      <c r="F569" s="65">
        <f t="shared" ca="1" si="27"/>
        <v>800</v>
      </c>
      <c r="G569" s="5"/>
      <c r="H569" s="5"/>
      <c r="I569" s="5"/>
      <c r="J569" s="5"/>
    </row>
    <row r="570" spans="1:10" ht="13.5" customHeight="1" x14ac:dyDescent="0.2">
      <c r="A570" s="78">
        <v>44121613</v>
      </c>
      <c r="B570" s="64" t="str">
        <f t="shared" ca="1" si="26"/>
        <v>Removedores de grapas (saca ganchos)</v>
      </c>
      <c r="C570" s="63" t="s">
        <v>1449</v>
      </c>
      <c r="D570" s="63">
        <v>10</v>
      </c>
      <c r="E570" s="66">
        <v>35</v>
      </c>
      <c r="F570" s="65">
        <f t="shared" ca="1" si="27"/>
        <v>350</v>
      </c>
      <c r="G570" s="5"/>
      <c r="H570" s="5"/>
      <c r="I570" s="5"/>
      <c r="J570" s="5"/>
    </row>
    <row r="571" spans="1:10" ht="13.5" customHeight="1" x14ac:dyDescent="0.2">
      <c r="A571" s="78">
        <v>44121615</v>
      </c>
      <c r="B571" s="64" t="str">
        <f t="shared" ca="1" si="26"/>
        <v>Grapadoras</v>
      </c>
      <c r="C571" s="63" t="s">
        <v>1449</v>
      </c>
      <c r="D571" s="63">
        <v>15</v>
      </c>
      <c r="E571" s="66">
        <v>900</v>
      </c>
      <c r="F571" s="65">
        <f t="shared" ca="1" si="27"/>
        <v>13500</v>
      </c>
      <c r="G571" s="5"/>
      <c r="H571" s="5"/>
      <c r="I571" s="5"/>
      <c r="J571" s="5"/>
    </row>
    <row r="572" spans="1:10" ht="13.5" customHeight="1" x14ac:dyDescent="0.2">
      <c r="A572" s="78">
        <v>44121618</v>
      </c>
      <c r="B572" s="64" t="str">
        <f t="shared" ca="1" si="26"/>
        <v>Tijeras</v>
      </c>
      <c r="C572" s="63" t="s">
        <v>1449</v>
      </c>
      <c r="D572" s="63">
        <v>16</v>
      </c>
      <c r="E572" s="66">
        <v>50</v>
      </c>
      <c r="F572" s="65">
        <f t="shared" ca="1" si="27"/>
        <v>800</v>
      </c>
      <c r="G572" s="5"/>
      <c r="H572" s="5"/>
      <c r="I572" s="5"/>
      <c r="J572" s="5"/>
    </row>
    <row r="573" spans="1:10" ht="13.5" customHeight="1" x14ac:dyDescent="0.2">
      <c r="A573" s="78">
        <v>44122104</v>
      </c>
      <c r="B573" s="64" t="str">
        <f t="shared" ca="1" si="26"/>
        <v>Clips para papel</v>
      </c>
      <c r="C573" s="63" t="s">
        <v>16988</v>
      </c>
      <c r="D573" s="63">
        <v>20</v>
      </c>
      <c r="E573" s="66">
        <v>35</v>
      </c>
      <c r="F573" s="65">
        <f t="shared" ca="1" si="27"/>
        <v>700</v>
      </c>
      <c r="G573" s="5"/>
      <c r="H573" s="5"/>
      <c r="I573" s="5"/>
      <c r="J573" s="5"/>
    </row>
    <row r="574" spans="1:10" ht="13.5" customHeight="1" x14ac:dyDescent="0.2">
      <c r="A574" s="78">
        <v>44122105</v>
      </c>
      <c r="B574" s="64" t="str">
        <f t="shared" ca="1" si="26"/>
        <v>Clips para carpetas o bulldog</v>
      </c>
      <c r="C574" s="63" t="s">
        <v>16988</v>
      </c>
      <c r="D574" s="63">
        <v>30</v>
      </c>
      <c r="E574" s="66">
        <v>60</v>
      </c>
      <c r="F574" s="65">
        <f t="shared" ca="1" si="27"/>
        <v>1800</v>
      </c>
      <c r="G574" s="5"/>
      <c r="H574" s="5"/>
      <c r="I574" s="5"/>
      <c r="J574" s="5"/>
    </row>
    <row r="575" spans="1:10" ht="13.5" customHeight="1" x14ac:dyDescent="0.2">
      <c r="A575" s="78">
        <v>44121628</v>
      </c>
      <c r="B575" s="64" t="str">
        <f t="shared" ca="1" si="26"/>
        <v>Contenedores o dispensadores de clips</v>
      </c>
      <c r="C575" s="63" t="s">
        <v>1449</v>
      </c>
      <c r="D575" s="63">
        <v>13</v>
      </c>
      <c r="E575" s="66">
        <v>70</v>
      </c>
      <c r="F575" s="65">
        <f t="shared" ca="1" si="27"/>
        <v>910</v>
      </c>
      <c r="G575" s="5"/>
      <c r="H575" s="5"/>
      <c r="I575" s="5"/>
      <c r="J575" s="5"/>
    </row>
    <row r="576" spans="1:10" ht="13.5" customHeight="1" x14ac:dyDescent="0.2">
      <c r="A576" s="78">
        <v>44121802</v>
      </c>
      <c r="B576" s="64" t="str">
        <f t="shared" ca="1" si="26"/>
        <v>Fluido de corrección</v>
      </c>
      <c r="C576" s="63" t="s">
        <v>1449</v>
      </c>
      <c r="D576" s="63">
        <v>19</v>
      </c>
      <c r="E576" s="66">
        <v>40</v>
      </c>
      <c r="F576" s="65">
        <f t="shared" ca="1" si="27"/>
        <v>760</v>
      </c>
      <c r="G576" s="5"/>
      <c r="H576" s="5"/>
      <c r="I576" s="5"/>
      <c r="J576" s="5"/>
    </row>
    <row r="577" spans="1:10" ht="13.5" customHeight="1" x14ac:dyDescent="0.2">
      <c r="A577" s="78">
        <v>44122017</v>
      </c>
      <c r="B577" s="64" t="str">
        <f t="shared" ca="1" si="26"/>
        <v>Folders de colgar o accesorios</v>
      </c>
      <c r="C577" s="63" t="s">
        <v>16988</v>
      </c>
      <c r="D577" s="63">
        <v>12</v>
      </c>
      <c r="E577" s="66">
        <v>2500</v>
      </c>
      <c r="F577" s="65">
        <f t="shared" ca="1" si="27"/>
        <v>30000</v>
      </c>
      <c r="G577" s="5"/>
      <c r="H577" s="5"/>
      <c r="I577" s="5"/>
      <c r="J577" s="5"/>
    </row>
    <row r="578" spans="1:10" ht="13.5" customHeight="1" x14ac:dyDescent="0.2">
      <c r="A578" s="78">
        <v>44122011</v>
      </c>
      <c r="B578" s="64" t="str">
        <f t="shared" ca="1" si="26"/>
        <v>Folders</v>
      </c>
      <c r="C578" s="63" t="s">
        <v>16988</v>
      </c>
      <c r="D578" s="63">
        <v>13</v>
      </c>
      <c r="E578" s="66">
        <v>2000</v>
      </c>
      <c r="F578" s="65">
        <f t="shared" ca="1" si="27"/>
        <v>26000</v>
      </c>
      <c r="G578" s="5"/>
      <c r="H578" s="5"/>
      <c r="I578" s="5"/>
      <c r="J578" s="5"/>
    </row>
    <row r="579" spans="1:10" ht="13.5" customHeight="1" x14ac:dyDescent="0.2">
      <c r="A579" s="78">
        <v>44121706</v>
      </c>
      <c r="B579" s="64" t="str">
        <f t="shared" ca="1" si="26"/>
        <v>Lápices de madera</v>
      </c>
      <c r="C579" s="63" t="s">
        <v>16988</v>
      </c>
      <c r="D579" s="63">
        <v>35</v>
      </c>
      <c r="E579" s="66">
        <v>50</v>
      </c>
      <c r="F579" s="65">
        <f t="shared" ca="1" si="27"/>
        <v>1750</v>
      </c>
      <c r="G579" s="5"/>
      <c r="H579" s="5"/>
      <c r="I579" s="5"/>
      <c r="J579" s="5"/>
    </row>
    <row r="580" spans="1:10" ht="13.5" customHeight="1" x14ac:dyDescent="0.2">
      <c r="A580" s="78">
        <v>44121701</v>
      </c>
      <c r="B580" s="64" t="str">
        <f t="shared" ca="1" si="26"/>
        <v>Bolígrafos</v>
      </c>
      <c r="C580" s="63" t="s">
        <v>16988</v>
      </c>
      <c r="D580" s="63">
        <v>36</v>
      </c>
      <c r="E580" s="66">
        <v>45</v>
      </c>
      <c r="F580" s="65">
        <f t="shared" ca="1" si="27"/>
        <v>1620</v>
      </c>
      <c r="G580" s="5"/>
      <c r="H580" s="5"/>
      <c r="I580" s="5"/>
      <c r="J580" s="5"/>
    </row>
    <row r="581" spans="1:10" ht="13.5" customHeight="1" x14ac:dyDescent="0.2">
      <c r="A581" s="78">
        <v>44122018</v>
      </c>
      <c r="B581" s="64" t="str">
        <f t="shared" ca="1" si="26"/>
        <v>Insertos o pestañas para archivos</v>
      </c>
      <c r="C581" s="63" t="s">
        <v>16988</v>
      </c>
      <c r="D581" s="63">
        <v>26</v>
      </c>
      <c r="E581" s="66">
        <v>50</v>
      </c>
      <c r="F581" s="65">
        <f t="shared" ca="1" si="27"/>
        <v>1300</v>
      </c>
      <c r="G581" s="5"/>
      <c r="H581" s="5"/>
      <c r="I581" s="5"/>
      <c r="J581" s="5"/>
    </row>
    <row r="582" spans="1:10" ht="13.5" customHeight="1" x14ac:dyDescent="0.2">
      <c r="A582" s="78">
        <v>44121503</v>
      </c>
      <c r="B582" s="64" t="str">
        <f t="shared" ca="1" si="26"/>
        <v>Sobres</v>
      </c>
      <c r="C582" s="63" t="s">
        <v>16988</v>
      </c>
      <c r="D582" s="63">
        <v>31</v>
      </c>
      <c r="E582" s="66">
        <v>400</v>
      </c>
      <c r="F582" s="65">
        <f t="shared" ca="1" si="27"/>
        <v>12400</v>
      </c>
      <c r="G582" s="5"/>
      <c r="H582" s="5"/>
      <c r="I582" s="5"/>
      <c r="J582" s="5"/>
    </row>
    <row r="583" spans="1:10" ht="13.5" customHeight="1" x14ac:dyDescent="0.2">
      <c r="A583" s="78">
        <v>44122003</v>
      </c>
      <c r="B583" s="64" t="str">
        <f t="shared" ca="1" si="26"/>
        <v>Carpetas</v>
      </c>
      <c r="C583" s="63" t="s">
        <v>1449</v>
      </c>
      <c r="D583" s="63">
        <v>35</v>
      </c>
      <c r="E583" s="66">
        <v>500</v>
      </c>
      <c r="F583" s="65">
        <f t="shared" ca="1" si="27"/>
        <v>17500</v>
      </c>
      <c r="G583" s="5"/>
      <c r="H583" s="5"/>
      <c r="I583" s="5"/>
      <c r="J583" s="5"/>
    </row>
    <row r="584" spans="1:10" ht="13.5" customHeight="1" x14ac:dyDescent="0.2">
      <c r="A584" s="78">
        <v>44121804</v>
      </c>
      <c r="B584" s="64" t="str">
        <f t="shared" ca="1" si="26"/>
        <v>Borradores</v>
      </c>
      <c r="C584" s="63" t="s">
        <v>1449</v>
      </c>
      <c r="D584" s="63">
        <v>10</v>
      </c>
      <c r="E584" s="66">
        <v>10</v>
      </c>
      <c r="F584" s="65">
        <f t="shared" ca="1" si="27"/>
        <v>100</v>
      </c>
      <c r="G584" s="5"/>
      <c r="H584" s="5"/>
      <c r="I584" s="5"/>
      <c r="J584" s="5"/>
    </row>
    <row r="585" spans="1:10" ht="13.5" customHeight="1" x14ac:dyDescent="0.2">
      <c r="A585" s="78">
        <v>44121611</v>
      </c>
      <c r="B585" s="64" t="str">
        <f t="shared" ca="1" si="26"/>
        <v>Punzones para papel u ojales</v>
      </c>
      <c r="C585" s="63" t="s">
        <v>16988</v>
      </c>
      <c r="D585" s="63">
        <v>30</v>
      </c>
      <c r="E585" s="66">
        <v>100</v>
      </c>
      <c r="F585" s="65">
        <f t="shared" ca="1" si="27"/>
        <v>3000</v>
      </c>
      <c r="G585" s="5"/>
      <c r="H585" s="5"/>
      <c r="I585" s="5"/>
      <c r="J585" s="5"/>
    </row>
    <row r="586" spans="1:10" ht="13.5" customHeight="1" x14ac:dyDescent="0.2">
      <c r="A586" s="78">
        <v>44122101</v>
      </c>
      <c r="B586" s="64" t="str">
        <f t="shared" ca="1" si="26"/>
        <v>Cauchos</v>
      </c>
      <c r="C586" s="63" t="s">
        <v>16988</v>
      </c>
      <c r="D586" s="63">
        <v>11</v>
      </c>
      <c r="E586" s="66">
        <v>40</v>
      </c>
      <c r="F586" s="65">
        <f t="shared" ca="1" si="27"/>
        <v>440</v>
      </c>
      <c r="G586" s="5"/>
      <c r="H586" s="5"/>
      <c r="I586" s="5"/>
      <c r="J586" s="5"/>
    </row>
    <row r="587" spans="1:10" ht="13.5" customHeight="1" x14ac:dyDescent="0.2">
      <c r="A587" s="78">
        <v>44121904</v>
      </c>
      <c r="B587" s="64" t="str">
        <f t="shared" ca="1" si="26"/>
        <v>Repuestos de tinta</v>
      </c>
      <c r="C587" s="63" t="s">
        <v>1449</v>
      </c>
      <c r="D587" s="63">
        <v>4</v>
      </c>
      <c r="E587" s="66">
        <v>250</v>
      </c>
      <c r="F587" s="65">
        <f t="shared" ca="1" si="27"/>
        <v>1000</v>
      </c>
      <c r="G587" s="5"/>
      <c r="H587" s="5"/>
      <c r="I587" s="5"/>
      <c r="J587" s="5"/>
    </row>
    <row r="588" spans="1:10" ht="13.5" customHeight="1" x14ac:dyDescent="0.2">
      <c r="A588" s="78">
        <v>44122027</v>
      </c>
      <c r="B588" s="64" t="str">
        <f t="shared" ca="1" si="26"/>
        <v>Folders de archivo expandibles</v>
      </c>
      <c r="C588" s="63" t="s">
        <v>1449</v>
      </c>
      <c r="D588" s="63">
        <v>1</v>
      </c>
      <c r="E588" s="66">
        <v>200</v>
      </c>
      <c r="F588" s="65">
        <f t="shared" ca="1" si="27"/>
        <v>200</v>
      </c>
      <c r="G588" s="5"/>
      <c r="H588" s="5"/>
      <c r="I588" s="5"/>
      <c r="J588" s="5"/>
    </row>
    <row r="589" spans="1:10" ht="13.5" customHeight="1" x14ac:dyDescent="0.2">
      <c r="A589" s="78">
        <v>44122025</v>
      </c>
      <c r="B589" s="64" t="str">
        <f t="shared" ca="1" si="26"/>
        <v>Bolsillos de carpetas o accesorios</v>
      </c>
      <c r="C589" s="63" t="s">
        <v>16988</v>
      </c>
      <c r="D589" s="63">
        <v>25</v>
      </c>
      <c r="E589" s="66">
        <v>200</v>
      </c>
      <c r="F589" s="65">
        <f t="shared" ca="1" si="27"/>
        <v>5000</v>
      </c>
      <c r="G589" s="5"/>
      <c r="H589" s="5"/>
      <c r="I589" s="5"/>
      <c r="J589" s="5"/>
    </row>
    <row r="590" spans="1:10" ht="13.5" customHeight="1" x14ac:dyDescent="0.2">
      <c r="A590" s="78">
        <v>31201610</v>
      </c>
      <c r="B590" s="64" t="str">
        <f t="shared" ca="1" si="26"/>
        <v>Pegamentos</v>
      </c>
      <c r="C590" s="63" t="s">
        <v>1449</v>
      </c>
      <c r="D590" s="63">
        <v>15</v>
      </c>
      <c r="E590" s="66">
        <v>600</v>
      </c>
      <c r="F590" s="65">
        <f t="shared" ca="1" si="27"/>
        <v>9000</v>
      </c>
      <c r="G590" s="5"/>
      <c r="H590" s="5"/>
      <c r="I590" s="5"/>
      <c r="J590" s="5"/>
    </row>
    <row r="591" spans="1:10" ht="13.5" customHeight="1" x14ac:dyDescent="0.2">
      <c r="A591" s="78">
        <v>31201512</v>
      </c>
      <c r="B591" s="64" t="str">
        <f t="shared" ca="1" si="26"/>
        <v>Cinta transparente</v>
      </c>
      <c r="C591" s="63" t="s">
        <v>1449</v>
      </c>
      <c r="D591" s="63">
        <v>15</v>
      </c>
      <c r="E591" s="66">
        <v>300</v>
      </c>
      <c r="F591" s="65">
        <f t="shared" ca="1" si="27"/>
        <v>4500</v>
      </c>
      <c r="G591" s="5"/>
      <c r="H591" s="5"/>
      <c r="I591" s="5"/>
      <c r="J591" s="5"/>
    </row>
    <row r="592" spans="1:10" ht="13.5" customHeight="1" x14ac:dyDescent="0.2">
      <c r="A592" s="78">
        <v>41111604</v>
      </c>
      <c r="B592" s="64" t="str">
        <f t="shared" ca="1" si="26"/>
        <v>Reglas</v>
      </c>
      <c r="C592" s="63" t="s">
        <v>1449</v>
      </c>
      <c r="D592" s="63">
        <v>9</v>
      </c>
      <c r="E592" s="66">
        <v>50</v>
      </c>
      <c r="F592" s="65">
        <f t="shared" ca="1" si="27"/>
        <v>450</v>
      </c>
      <c r="G592" s="5"/>
      <c r="H592" s="5"/>
      <c r="I592" s="5"/>
      <c r="J592" s="5"/>
    </row>
    <row r="593" spans="1:10" ht="13.5" customHeight="1" x14ac:dyDescent="0.2">
      <c r="A593" s="78">
        <v>44122121</v>
      </c>
      <c r="B593" s="64" t="str">
        <f t="shared" ca="1" si="26"/>
        <v>Clips de pared o tablero</v>
      </c>
      <c r="C593" s="63" t="s">
        <v>16988</v>
      </c>
      <c r="D593" s="63">
        <v>3</v>
      </c>
      <c r="E593" s="66">
        <v>800</v>
      </c>
      <c r="F593" s="65">
        <f t="shared" ca="1" si="27"/>
        <v>2400</v>
      </c>
      <c r="G593" s="5"/>
      <c r="H593" s="5"/>
      <c r="I593" s="5"/>
      <c r="J593" s="5"/>
    </row>
    <row r="594" spans="1:10" ht="13.5" customHeight="1" x14ac:dyDescent="0.2">
      <c r="A594" s="57">
        <v>14111530</v>
      </c>
      <c r="B594" s="64" t="str">
        <f t="shared" ca="1" si="26"/>
        <v>Papel de notas autoadhesivas</v>
      </c>
      <c r="C594" s="63" t="s">
        <v>4735</v>
      </c>
      <c r="D594" s="63">
        <v>200</v>
      </c>
      <c r="E594" s="66">
        <v>60</v>
      </c>
      <c r="F594" s="65">
        <f t="shared" ca="1" si="27"/>
        <v>12000</v>
      </c>
      <c r="G594" s="5"/>
      <c r="H594" s="5"/>
      <c r="I594" s="5"/>
      <c r="J594" s="5"/>
    </row>
    <row r="595" spans="1:10" ht="13.5" customHeight="1" x14ac:dyDescent="0.2">
      <c r="A595" s="78">
        <v>14111515</v>
      </c>
      <c r="B595" s="64" t="str">
        <f t="shared" ca="1" si="26"/>
        <v>Papel para sumadora o máquina registradora</v>
      </c>
      <c r="C595" s="63" t="s">
        <v>1449</v>
      </c>
      <c r="D595" s="63">
        <v>250</v>
      </c>
      <c r="E595" s="66">
        <v>90</v>
      </c>
      <c r="F595" s="65">
        <f t="shared" ca="1" si="27"/>
        <v>22500</v>
      </c>
      <c r="G595" s="5"/>
      <c r="H595" s="5"/>
      <c r="I595" s="5"/>
      <c r="J595" s="5"/>
    </row>
    <row r="596" spans="1:10" ht="13.5" customHeight="1" x14ac:dyDescent="0.2">
      <c r="A596" s="78">
        <v>14111507</v>
      </c>
      <c r="B596" s="64" t="str">
        <f t="shared" ca="1" si="26"/>
        <v>Papel para impresora o fotocopiadora</v>
      </c>
      <c r="C596" s="63" t="s">
        <v>8725</v>
      </c>
      <c r="D596" s="63">
        <v>600</v>
      </c>
      <c r="E596" s="66">
        <v>200</v>
      </c>
      <c r="F596" s="65">
        <f t="shared" ca="1" si="27"/>
        <v>120000</v>
      </c>
      <c r="G596" s="5"/>
      <c r="H596" s="5"/>
      <c r="I596" s="5"/>
      <c r="J596" s="5"/>
    </row>
    <row r="597" spans="1:10" ht="13.5" customHeight="1" x14ac:dyDescent="0.2">
      <c r="A597" s="78">
        <v>14111526</v>
      </c>
      <c r="B597" s="64" t="str">
        <f t="shared" ca="1" si="26"/>
        <v>Papel libretas o libros de mensajes telefónicos</v>
      </c>
      <c r="C597" s="63" t="s">
        <v>1449</v>
      </c>
      <c r="D597" s="63">
        <v>137</v>
      </c>
      <c r="E597" s="66">
        <v>500</v>
      </c>
      <c r="F597" s="65">
        <f t="shared" ca="1" si="27"/>
        <v>68500</v>
      </c>
      <c r="G597" s="5"/>
      <c r="H597" s="5"/>
      <c r="I597" s="5"/>
      <c r="J597" s="5"/>
    </row>
    <row r="598" spans="1:10" ht="13.5" customHeight="1" x14ac:dyDescent="0.2">
      <c r="A598" s="78">
        <v>14111514</v>
      </c>
      <c r="B598" s="64" t="str">
        <f t="shared" ca="1" si="26"/>
        <v>Blocs o cuadernos de papel</v>
      </c>
      <c r="C598" s="63" t="s">
        <v>4735</v>
      </c>
      <c r="D598" s="63">
        <v>300</v>
      </c>
      <c r="E598" s="66">
        <v>300</v>
      </c>
      <c r="F598" s="65">
        <f t="shared" ca="1" si="27"/>
        <v>90000</v>
      </c>
      <c r="G598" s="5"/>
      <c r="H598" s="5"/>
      <c r="I598" s="5"/>
      <c r="J598" s="5"/>
    </row>
    <row r="599" spans="1:10" ht="13.5" customHeight="1" x14ac:dyDescent="0.2">
      <c r="A599" s="78">
        <v>14111537</v>
      </c>
      <c r="B599" s="64" t="str">
        <f t="shared" ca="1" si="26"/>
        <v>Etiquetas de papel</v>
      </c>
      <c r="C599" s="63" t="s">
        <v>4735</v>
      </c>
      <c r="D599" s="63">
        <v>200</v>
      </c>
      <c r="E599" s="66">
        <v>350</v>
      </c>
      <c r="F599" s="65">
        <f t="shared" ca="1" si="27"/>
        <v>70000</v>
      </c>
      <c r="G599" s="5"/>
      <c r="H599" s="5"/>
      <c r="I599" s="5"/>
      <c r="J599" s="5"/>
    </row>
    <row r="600" spans="1:10" ht="13.5" customHeight="1" x14ac:dyDescent="0.2">
      <c r="A600" s="78">
        <v>14111813</v>
      </c>
      <c r="B600" s="64" t="str">
        <f t="shared" ca="1" si="26"/>
        <v>Formatos o libros de correspondencia</v>
      </c>
      <c r="C600" s="63" t="s">
        <v>1449</v>
      </c>
      <c r="D600" s="63">
        <v>125</v>
      </c>
      <c r="E600" s="66">
        <v>900</v>
      </c>
      <c r="F600" s="65">
        <f t="shared" ca="1" si="27"/>
        <v>112500</v>
      </c>
      <c r="G600" s="5"/>
      <c r="H600" s="5"/>
      <c r="I600" s="5"/>
      <c r="J600" s="5"/>
    </row>
    <row r="601" spans="1:10" ht="13.5" customHeight="1" x14ac:dyDescent="0.2">
      <c r="A601" s="78">
        <v>14111610</v>
      </c>
      <c r="B601" s="64" t="str">
        <f t="shared" ca="1" si="26"/>
        <v>Papel de construcción</v>
      </c>
      <c r="C601" s="63" t="s">
        <v>8725</v>
      </c>
      <c r="D601" s="63">
        <v>150</v>
      </c>
      <c r="E601" s="66">
        <v>300</v>
      </c>
      <c r="F601" s="65">
        <f t="shared" ca="1" si="27"/>
        <v>45000</v>
      </c>
      <c r="G601" s="5"/>
      <c r="H601" s="5"/>
      <c r="I601" s="5"/>
      <c r="J601" s="5"/>
    </row>
    <row r="602" spans="1:10" ht="13.5" customHeight="1" x14ac:dyDescent="0.2">
      <c r="A602" s="78">
        <v>14111519</v>
      </c>
      <c r="B602" s="64" t="str">
        <f t="shared" ca="1" si="26"/>
        <v>Papeles cartulina</v>
      </c>
      <c r="C602" s="63" t="s">
        <v>1449</v>
      </c>
      <c r="D602" s="63">
        <v>200</v>
      </c>
      <c r="E602" s="66">
        <v>100</v>
      </c>
      <c r="F602" s="65">
        <f t="shared" ca="1" si="27"/>
        <v>20000</v>
      </c>
      <c r="G602" s="5"/>
      <c r="H602" s="5"/>
      <c r="I602" s="5"/>
      <c r="J602" s="5"/>
    </row>
    <row r="603" spans="1:10" ht="13.5" customHeight="1" x14ac:dyDescent="0.2">
      <c r="A603" s="78">
        <v>14111523</v>
      </c>
      <c r="B603" s="64" t="str">
        <f t="shared" ca="1" si="26"/>
        <v>Papel calcante</v>
      </c>
      <c r="C603" s="63" t="s">
        <v>16988</v>
      </c>
      <c r="D603" s="63">
        <v>20</v>
      </c>
      <c r="E603" s="66">
        <v>100</v>
      </c>
      <c r="F603" s="65">
        <f t="shared" ca="1" si="27"/>
        <v>2000</v>
      </c>
      <c r="G603" s="5"/>
      <c r="H603" s="5"/>
      <c r="I603" s="5"/>
      <c r="J603" s="5"/>
    </row>
    <row r="604" spans="1:10" ht="14.1" customHeight="1" x14ac:dyDescent="0.2">
      <c r="A604" s="5"/>
      <c r="B604" s="5"/>
      <c r="C604" s="5"/>
      <c r="D604" s="5"/>
      <c r="E604" s="68" t="s">
        <v>12550</v>
      </c>
      <c r="F604" s="69">
        <f ca="1">SUM(Table38[MONTO TOTAL ESTIMADO])</f>
        <v>718380</v>
      </c>
      <c r="G604" s="5"/>
      <c r="H604" s="5" t="str">
        <f>C558</f>
        <v>Bienes</v>
      </c>
      <c r="I604" s="5" t="str">
        <f>E558</f>
        <v>Sí</v>
      </c>
      <c r="J604" s="5" t="str">
        <f>D558</f>
        <v>Compras Menores</v>
      </c>
    </row>
    <row r="605" spans="1:10" ht="14.1" customHeight="1" thickBot="1" x14ac:dyDescent="0.3"/>
    <row r="606" spans="1:10" ht="33.75" customHeight="1" thickBot="1" x14ac:dyDescent="0.25">
      <c r="A606" s="59" t="s">
        <v>16382</v>
      </c>
      <c r="B606" s="59" t="s">
        <v>161</v>
      </c>
      <c r="C606" s="59" t="s">
        <v>11724</v>
      </c>
      <c r="D606" s="59" t="s">
        <v>14378</v>
      </c>
      <c r="E606" s="59" t="s">
        <v>10962</v>
      </c>
      <c r="F606" s="59" t="s">
        <v>11095</v>
      </c>
      <c r="G606" s="5"/>
      <c r="H606" s="5"/>
      <c r="I606" s="5"/>
      <c r="J606" s="5"/>
    </row>
    <row r="607" spans="1:10" ht="13.5" customHeight="1" thickBot="1" x14ac:dyDescent="0.25">
      <c r="A607" s="77" t="s">
        <v>18845</v>
      </c>
      <c r="B607" s="77" t="s">
        <v>18848</v>
      </c>
      <c r="C607" s="61" t="s">
        <v>17797</v>
      </c>
      <c r="D607" s="61" t="s">
        <v>17482</v>
      </c>
      <c r="E607" s="61" t="s">
        <v>8854</v>
      </c>
      <c r="F607" s="61"/>
      <c r="G607" s="5"/>
      <c r="H607" s="5"/>
      <c r="I607" s="5"/>
      <c r="J607" s="5"/>
    </row>
    <row r="608" spans="1:10" ht="14.1" customHeight="1" thickBot="1" x14ac:dyDescent="0.25">
      <c r="A608" s="82" t="s">
        <v>14828</v>
      </c>
      <c r="B608" s="62" t="s">
        <v>8528</v>
      </c>
      <c r="C608" s="71">
        <v>44013</v>
      </c>
      <c r="D608" s="82" t="s">
        <v>9385</v>
      </c>
      <c r="E608" s="62" t="s">
        <v>13093</v>
      </c>
      <c r="F608" s="61" t="s">
        <v>3080</v>
      </c>
      <c r="G608" s="5"/>
      <c r="H608" s="5"/>
      <c r="I608" s="5"/>
      <c r="J608" s="5"/>
    </row>
    <row r="609" spans="1:10" ht="14.1" customHeight="1" thickBot="1" x14ac:dyDescent="0.25">
      <c r="A609" s="83"/>
      <c r="B609" s="62" t="s">
        <v>1786</v>
      </c>
      <c r="C609" s="60">
        <f>IF(C608="","",IF(AND(MONTH(C608)&gt;=1,MONTH(C608)&lt;=3),1,IF(AND(MONTH(C608)&gt;=4,MONTH(C608)&lt;=6),2,IF(AND(MONTH(C608)&gt;=7,MONTH(C608)&lt;=9),3,4))))</f>
        <v>3</v>
      </c>
      <c r="D609" s="83"/>
      <c r="E609" s="62" t="s">
        <v>2417</v>
      </c>
      <c r="F609" s="61" t="s">
        <v>11112</v>
      </c>
      <c r="G609" s="5"/>
      <c r="H609" s="5"/>
      <c r="I609" s="5"/>
      <c r="J609" s="5"/>
    </row>
    <row r="610" spans="1:10" ht="14.1" customHeight="1" thickBot="1" x14ac:dyDescent="0.25">
      <c r="A610" s="83"/>
      <c r="B610" s="62" t="s">
        <v>12942</v>
      </c>
      <c r="C610" s="71">
        <v>44104</v>
      </c>
      <c r="D610" s="83"/>
      <c r="E610" s="62" t="s">
        <v>3073</v>
      </c>
      <c r="F610" s="61" t="s">
        <v>11112</v>
      </c>
      <c r="G610" s="5"/>
      <c r="H610" s="5"/>
      <c r="I610" s="5"/>
      <c r="J610" s="5"/>
    </row>
    <row r="611" spans="1:10" ht="14.1" customHeight="1" thickBot="1" x14ac:dyDescent="0.25">
      <c r="A611" s="83"/>
      <c r="B611" s="62" t="s">
        <v>1786</v>
      </c>
      <c r="C611" s="60">
        <f>IF(C610="","",IF(AND(MONTH(C610)&gt;=1,MONTH(C610)&lt;=3),1,IF(AND(MONTH(C610)&gt;=4,MONTH(C610)&lt;=6),2,IF(AND(MONTH(C610)&gt;=7,MONTH(C610)&lt;=9),3,4))))</f>
        <v>3</v>
      </c>
      <c r="D611" s="83"/>
      <c r="E611" s="62" t="s">
        <v>13192</v>
      </c>
      <c r="F611" s="61" t="s">
        <v>11112</v>
      </c>
      <c r="G611" s="5"/>
      <c r="H611" s="5"/>
      <c r="I611" s="5"/>
      <c r="J611" s="5"/>
    </row>
    <row r="612" spans="1:10" ht="14.1" customHeight="1" thickBot="1" x14ac:dyDescent="0.25">
      <c r="A612" s="5"/>
      <c r="B612" s="5"/>
      <c r="C612" s="5"/>
      <c r="D612" s="5"/>
      <c r="E612" s="5"/>
      <c r="F612" s="5"/>
      <c r="G612" s="5"/>
      <c r="H612" s="5"/>
      <c r="I612" s="5"/>
      <c r="J612" s="5"/>
    </row>
    <row r="613" spans="1:10" ht="14.1" customHeight="1" thickBot="1" x14ac:dyDescent="0.25">
      <c r="A613" s="67" t="s">
        <v>15735</v>
      </c>
      <c r="B613" s="67" t="s">
        <v>16146</v>
      </c>
      <c r="C613" s="67" t="s">
        <v>15641</v>
      </c>
      <c r="D613" s="67" t="s">
        <v>15251</v>
      </c>
      <c r="E613" s="67" t="s">
        <v>6932</v>
      </c>
      <c r="F613" s="67" t="s">
        <v>15280</v>
      </c>
      <c r="G613" s="5"/>
      <c r="H613" s="5"/>
      <c r="I613" s="5"/>
      <c r="J613" s="5"/>
    </row>
    <row r="614" spans="1:10" ht="13.5" customHeight="1" x14ac:dyDescent="0.2">
      <c r="A614" s="78">
        <v>44121708</v>
      </c>
      <c r="B614" s="64" t="str">
        <f t="shared" ref="B614:B652" ca="1" si="28">IFERROR(INDEX(UNSPSCDes,MATCH(INDIRECT(ADDRESS(ROW(),COLUMN()-1,4)),UNSPSCCode,0)),"")</f>
        <v>Marcadores</v>
      </c>
      <c r="C614" s="63" t="s">
        <v>16988</v>
      </c>
      <c r="D614" s="63">
        <v>20</v>
      </c>
      <c r="E614" s="66">
        <v>140</v>
      </c>
      <c r="F614" s="65">
        <f t="shared" ref="F614:F652" ca="1" si="29">INDIRECT(ADDRESS(ROW(),COLUMN()-2,4))*INDIRECT(ADDRESS(ROW(),COLUMN()-1,4))</f>
        <v>2800</v>
      </c>
      <c r="G614" s="5"/>
      <c r="H614" s="5"/>
      <c r="I614" s="5"/>
      <c r="J614" s="5"/>
    </row>
    <row r="615" spans="1:10" ht="13.5" customHeight="1" x14ac:dyDescent="0.2">
      <c r="A615" s="78">
        <v>44121716</v>
      </c>
      <c r="B615" s="64" t="str">
        <f t="shared" ca="1" si="28"/>
        <v>Resaltadores</v>
      </c>
      <c r="C615" s="63" t="s">
        <v>16988</v>
      </c>
      <c r="D615" s="63">
        <v>21</v>
      </c>
      <c r="E615" s="66">
        <v>300</v>
      </c>
      <c r="F615" s="65">
        <f t="shared" ca="1" si="29"/>
        <v>6300</v>
      </c>
      <c r="G615" s="5"/>
      <c r="H615" s="5"/>
      <c r="I615" s="5"/>
      <c r="J615" s="5"/>
    </row>
    <row r="616" spans="1:10" ht="13.5" customHeight="1" x14ac:dyDescent="0.2">
      <c r="A616" s="78">
        <v>44121605</v>
      </c>
      <c r="B616" s="64" t="str">
        <f t="shared" ca="1" si="28"/>
        <v>Dispensadores de cinta</v>
      </c>
      <c r="C616" s="63" t="s">
        <v>1449</v>
      </c>
      <c r="D616" s="63">
        <v>5</v>
      </c>
      <c r="E616" s="66">
        <v>500</v>
      </c>
      <c r="F616" s="65">
        <f t="shared" ca="1" si="29"/>
        <v>2500</v>
      </c>
      <c r="G616" s="5"/>
      <c r="H616" s="5"/>
      <c r="I616" s="5"/>
      <c r="J616" s="5"/>
    </row>
    <row r="617" spans="1:10" ht="13.5" customHeight="1" x14ac:dyDescent="0.2">
      <c r="A617" s="78">
        <v>44121619</v>
      </c>
      <c r="B617" s="64" t="str">
        <f t="shared" ca="1" si="28"/>
        <v>Tajalápices manuales</v>
      </c>
      <c r="C617" s="63" t="s">
        <v>1449</v>
      </c>
      <c r="D617" s="63">
        <v>9</v>
      </c>
      <c r="E617" s="66">
        <v>700</v>
      </c>
      <c r="F617" s="65">
        <f t="shared" ca="1" si="29"/>
        <v>6300</v>
      </c>
      <c r="G617" s="5"/>
      <c r="H617" s="5"/>
      <c r="I617" s="5"/>
      <c r="J617" s="5"/>
    </row>
    <row r="618" spans="1:10" ht="13.5" customHeight="1" x14ac:dyDescent="0.2">
      <c r="A618" s="78">
        <v>44122107</v>
      </c>
      <c r="B618" s="64" t="str">
        <f t="shared" ca="1" si="28"/>
        <v>Grapas</v>
      </c>
      <c r="C618" s="63" t="s">
        <v>16988</v>
      </c>
      <c r="D618" s="63">
        <v>15</v>
      </c>
      <c r="E618" s="66">
        <v>40</v>
      </c>
      <c r="F618" s="65">
        <f t="shared" ca="1" si="29"/>
        <v>600</v>
      </c>
      <c r="G618" s="5"/>
      <c r="H618" s="5"/>
      <c r="I618" s="5"/>
      <c r="J618" s="5"/>
    </row>
    <row r="619" spans="1:10" ht="13.5" customHeight="1" x14ac:dyDescent="0.2">
      <c r="A619" s="78">
        <v>44121613</v>
      </c>
      <c r="B619" s="64" t="str">
        <f t="shared" ca="1" si="28"/>
        <v>Removedores de grapas (saca ganchos)</v>
      </c>
      <c r="C619" s="63" t="s">
        <v>1449</v>
      </c>
      <c r="D619" s="63">
        <v>14</v>
      </c>
      <c r="E619" s="66">
        <v>35</v>
      </c>
      <c r="F619" s="65">
        <f t="shared" ca="1" si="29"/>
        <v>490</v>
      </c>
      <c r="G619" s="5"/>
      <c r="H619" s="5"/>
      <c r="I619" s="5"/>
      <c r="J619" s="5"/>
    </row>
    <row r="620" spans="1:10" ht="13.5" customHeight="1" x14ac:dyDescent="0.2">
      <c r="A620" s="78">
        <v>44121615</v>
      </c>
      <c r="B620" s="64" t="str">
        <f t="shared" ca="1" si="28"/>
        <v>Grapadoras</v>
      </c>
      <c r="C620" s="63" t="s">
        <v>1449</v>
      </c>
      <c r="D620" s="63">
        <v>17</v>
      </c>
      <c r="E620" s="66">
        <v>900</v>
      </c>
      <c r="F620" s="65">
        <f t="shared" ca="1" si="29"/>
        <v>15300</v>
      </c>
      <c r="G620" s="5"/>
      <c r="H620" s="5"/>
      <c r="I620" s="5"/>
      <c r="J620" s="5"/>
    </row>
    <row r="621" spans="1:10" ht="13.5" customHeight="1" x14ac:dyDescent="0.2">
      <c r="A621" s="78">
        <v>44121618</v>
      </c>
      <c r="B621" s="64" t="str">
        <f t="shared" ca="1" si="28"/>
        <v>Tijeras</v>
      </c>
      <c r="C621" s="63" t="s">
        <v>1449</v>
      </c>
      <c r="D621" s="63">
        <v>17</v>
      </c>
      <c r="E621" s="66">
        <v>50</v>
      </c>
      <c r="F621" s="65">
        <f t="shared" ca="1" si="29"/>
        <v>850</v>
      </c>
      <c r="G621" s="5"/>
      <c r="H621" s="5"/>
      <c r="I621" s="5"/>
      <c r="J621" s="5"/>
    </row>
    <row r="622" spans="1:10" ht="13.5" customHeight="1" x14ac:dyDescent="0.2">
      <c r="A622" s="78">
        <v>44122104</v>
      </c>
      <c r="B622" s="64" t="str">
        <f t="shared" ca="1" si="28"/>
        <v>Clips para papel</v>
      </c>
      <c r="C622" s="63" t="s">
        <v>16988</v>
      </c>
      <c r="D622" s="63">
        <v>20</v>
      </c>
      <c r="E622" s="66">
        <v>35</v>
      </c>
      <c r="F622" s="65">
        <f t="shared" ca="1" si="29"/>
        <v>700</v>
      </c>
      <c r="G622" s="5"/>
      <c r="H622" s="5"/>
      <c r="I622" s="5"/>
      <c r="J622" s="5"/>
    </row>
    <row r="623" spans="1:10" ht="13.5" customHeight="1" x14ac:dyDescent="0.2">
      <c r="A623" s="78">
        <v>44122105</v>
      </c>
      <c r="B623" s="64" t="str">
        <f t="shared" ca="1" si="28"/>
        <v>Clips para carpetas o bulldog</v>
      </c>
      <c r="C623" s="63" t="s">
        <v>16988</v>
      </c>
      <c r="D623" s="63">
        <v>30</v>
      </c>
      <c r="E623" s="66">
        <v>60</v>
      </c>
      <c r="F623" s="65">
        <f t="shared" ca="1" si="29"/>
        <v>1800</v>
      </c>
      <c r="G623" s="5"/>
      <c r="H623" s="5"/>
      <c r="I623" s="5"/>
      <c r="J623" s="5"/>
    </row>
    <row r="624" spans="1:10" ht="13.5" customHeight="1" x14ac:dyDescent="0.2">
      <c r="A624" s="78">
        <v>44121628</v>
      </c>
      <c r="B624" s="64" t="str">
        <f t="shared" ca="1" si="28"/>
        <v>Contenedores o dispensadores de clips</v>
      </c>
      <c r="C624" s="63" t="s">
        <v>1449</v>
      </c>
      <c r="D624" s="63">
        <v>12</v>
      </c>
      <c r="E624" s="66">
        <v>70</v>
      </c>
      <c r="F624" s="65">
        <f t="shared" ca="1" si="29"/>
        <v>840</v>
      </c>
      <c r="G624" s="5"/>
      <c r="H624" s="5"/>
      <c r="I624" s="5"/>
      <c r="J624" s="5"/>
    </row>
    <row r="625" spans="1:10" ht="13.5" customHeight="1" x14ac:dyDescent="0.2">
      <c r="A625" s="78">
        <v>44121802</v>
      </c>
      <c r="B625" s="64" t="str">
        <f t="shared" ca="1" si="28"/>
        <v>Fluido de corrección</v>
      </c>
      <c r="C625" s="63" t="s">
        <v>1449</v>
      </c>
      <c r="D625" s="63">
        <v>10</v>
      </c>
      <c r="E625" s="66">
        <v>40</v>
      </c>
      <c r="F625" s="65">
        <f t="shared" ca="1" si="29"/>
        <v>400</v>
      </c>
      <c r="G625" s="5"/>
      <c r="H625" s="5"/>
      <c r="I625" s="5"/>
      <c r="J625" s="5"/>
    </row>
    <row r="626" spans="1:10" ht="13.5" customHeight="1" x14ac:dyDescent="0.2">
      <c r="A626" s="78">
        <v>44122017</v>
      </c>
      <c r="B626" s="64" t="str">
        <f t="shared" ca="1" si="28"/>
        <v>Folders de colgar o accesorios</v>
      </c>
      <c r="C626" s="63" t="s">
        <v>16988</v>
      </c>
      <c r="D626" s="63">
        <v>19</v>
      </c>
      <c r="E626" s="66">
        <v>2500</v>
      </c>
      <c r="F626" s="65">
        <f t="shared" ca="1" si="29"/>
        <v>47500</v>
      </c>
      <c r="G626" s="5"/>
      <c r="H626" s="5"/>
      <c r="I626" s="5"/>
      <c r="J626" s="5"/>
    </row>
    <row r="627" spans="1:10" ht="13.5" customHeight="1" x14ac:dyDescent="0.2">
      <c r="A627" s="78">
        <v>44122011</v>
      </c>
      <c r="B627" s="64" t="str">
        <f t="shared" ca="1" si="28"/>
        <v>Folders</v>
      </c>
      <c r="C627" s="63" t="s">
        <v>16988</v>
      </c>
      <c r="D627" s="63">
        <v>19</v>
      </c>
      <c r="E627" s="66">
        <v>2000</v>
      </c>
      <c r="F627" s="65">
        <f t="shared" ca="1" si="29"/>
        <v>38000</v>
      </c>
      <c r="G627" s="5"/>
      <c r="H627" s="5"/>
      <c r="I627" s="5"/>
      <c r="J627" s="5"/>
    </row>
    <row r="628" spans="1:10" ht="13.5" customHeight="1" x14ac:dyDescent="0.2">
      <c r="A628" s="78">
        <v>44121706</v>
      </c>
      <c r="B628" s="64" t="str">
        <f t="shared" ca="1" si="28"/>
        <v>Lápices de madera</v>
      </c>
      <c r="C628" s="63" t="s">
        <v>16988</v>
      </c>
      <c r="D628" s="63">
        <v>20</v>
      </c>
      <c r="E628" s="66">
        <v>50</v>
      </c>
      <c r="F628" s="65">
        <f t="shared" ca="1" si="29"/>
        <v>1000</v>
      </c>
      <c r="G628" s="5"/>
      <c r="H628" s="5"/>
      <c r="I628" s="5"/>
      <c r="J628" s="5"/>
    </row>
    <row r="629" spans="1:10" ht="13.5" customHeight="1" x14ac:dyDescent="0.2">
      <c r="A629" s="78">
        <v>44121701</v>
      </c>
      <c r="B629" s="64" t="str">
        <f t="shared" ca="1" si="28"/>
        <v>Bolígrafos</v>
      </c>
      <c r="C629" s="63" t="s">
        <v>16988</v>
      </c>
      <c r="D629" s="63">
        <v>30</v>
      </c>
      <c r="E629" s="66">
        <v>45</v>
      </c>
      <c r="F629" s="65">
        <f t="shared" ca="1" si="29"/>
        <v>1350</v>
      </c>
      <c r="G629" s="5"/>
      <c r="H629" s="5"/>
      <c r="I629" s="5"/>
      <c r="J629" s="5"/>
    </row>
    <row r="630" spans="1:10" ht="13.5" customHeight="1" x14ac:dyDescent="0.2">
      <c r="A630" s="78">
        <v>44122018</v>
      </c>
      <c r="B630" s="64" t="str">
        <f t="shared" ca="1" si="28"/>
        <v>Insertos o pestañas para archivos</v>
      </c>
      <c r="C630" s="63" t="s">
        <v>16988</v>
      </c>
      <c r="D630" s="63">
        <v>20</v>
      </c>
      <c r="E630" s="66">
        <v>50</v>
      </c>
      <c r="F630" s="65">
        <f t="shared" ca="1" si="29"/>
        <v>1000</v>
      </c>
      <c r="G630" s="5"/>
      <c r="H630" s="5"/>
      <c r="I630" s="5"/>
      <c r="J630" s="5"/>
    </row>
    <row r="631" spans="1:10" ht="13.5" customHeight="1" x14ac:dyDescent="0.2">
      <c r="A631" s="78">
        <v>44121503</v>
      </c>
      <c r="B631" s="64" t="str">
        <f t="shared" ca="1" si="28"/>
        <v>Sobres</v>
      </c>
      <c r="C631" s="63" t="s">
        <v>16988</v>
      </c>
      <c r="D631" s="63">
        <v>25</v>
      </c>
      <c r="E631" s="66">
        <v>400</v>
      </c>
      <c r="F631" s="65">
        <f t="shared" ca="1" si="29"/>
        <v>10000</v>
      </c>
      <c r="G631" s="5"/>
      <c r="H631" s="5"/>
      <c r="I631" s="5"/>
      <c r="J631" s="5"/>
    </row>
    <row r="632" spans="1:10" ht="13.5" customHeight="1" x14ac:dyDescent="0.2">
      <c r="A632" s="78">
        <v>44122003</v>
      </c>
      <c r="B632" s="64" t="str">
        <f t="shared" ca="1" si="28"/>
        <v>Carpetas</v>
      </c>
      <c r="C632" s="63" t="s">
        <v>1449</v>
      </c>
      <c r="D632" s="63">
        <v>28</v>
      </c>
      <c r="E632" s="66">
        <v>500</v>
      </c>
      <c r="F632" s="65">
        <f t="shared" ca="1" si="29"/>
        <v>14000</v>
      </c>
      <c r="G632" s="5"/>
      <c r="H632" s="5"/>
      <c r="I632" s="5"/>
      <c r="J632" s="5"/>
    </row>
    <row r="633" spans="1:10" ht="13.5" customHeight="1" x14ac:dyDescent="0.2">
      <c r="A633" s="78">
        <v>44121804</v>
      </c>
      <c r="B633" s="64" t="str">
        <f t="shared" ca="1" si="28"/>
        <v>Borradores</v>
      </c>
      <c r="C633" s="63" t="s">
        <v>1449</v>
      </c>
      <c r="D633" s="63">
        <v>12</v>
      </c>
      <c r="E633" s="66">
        <v>10</v>
      </c>
      <c r="F633" s="65">
        <f t="shared" ca="1" si="29"/>
        <v>120</v>
      </c>
      <c r="G633" s="5"/>
      <c r="H633" s="5"/>
      <c r="I633" s="5"/>
      <c r="J633" s="5"/>
    </row>
    <row r="634" spans="1:10" ht="13.5" customHeight="1" x14ac:dyDescent="0.2">
      <c r="A634" s="78">
        <v>44121611</v>
      </c>
      <c r="B634" s="64" t="str">
        <f t="shared" ca="1" si="28"/>
        <v>Punzones para papel u ojales</v>
      </c>
      <c r="C634" s="63" t="s">
        <v>16988</v>
      </c>
      <c r="D634" s="63">
        <v>19</v>
      </c>
      <c r="E634" s="66">
        <v>100</v>
      </c>
      <c r="F634" s="65">
        <f t="shared" ca="1" si="29"/>
        <v>1900</v>
      </c>
      <c r="G634" s="5"/>
      <c r="H634" s="5"/>
      <c r="I634" s="5"/>
      <c r="J634" s="5"/>
    </row>
    <row r="635" spans="1:10" ht="13.5" customHeight="1" x14ac:dyDescent="0.2">
      <c r="A635" s="78">
        <v>44122101</v>
      </c>
      <c r="B635" s="64" t="str">
        <f t="shared" ca="1" si="28"/>
        <v>Cauchos</v>
      </c>
      <c r="C635" s="63" t="s">
        <v>16988</v>
      </c>
      <c r="D635" s="63">
        <v>20</v>
      </c>
      <c r="E635" s="66">
        <v>40</v>
      </c>
      <c r="F635" s="65">
        <f t="shared" ca="1" si="29"/>
        <v>800</v>
      </c>
      <c r="G635" s="5"/>
      <c r="H635" s="5"/>
      <c r="I635" s="5"/>
      <c r="J635" s="5"/>
    </row>
    <row r="636" spans="1:10" ht="13.5" customHeight="1" x14ac:dyDescent="0.2">
      <c r="A636" s="78">
        <v>44121904</v>
      </c>
      <c r="B636" s="64" t="str">
        <f t="shared" ca="1" si="28"/>
        <v>Repuestos de tinta</v>
      </c>
      <c r="C636" s="63" t="s">
        <v>1449</v>
      </c>
      <c r="D636" s="63">
        <v>15</v>
      </c>
      <c r="E636" s="66">
        <v>250</v>
      </c>
      <c r="F636" s="65">
        <f t="shared" ca="1" si="29"/>
        <v>3750</v>
      </c>
      <c r="G636" s="5"/>
      <c r="H636" s="5"/>
      <c r="I636" s="5"/>
      <c r="J636" s="5"/>
    </row>
    <row r="637" spans="1:10" ht="13.5" customHeight="1" x14ac:dyDescent="0.2">
      <c r="A637" s="78">
        <v>44122027</v>
      </c>
      <c r="B637" s="64" t="str">
        <f t="shared" ca="1" si="28"/>
        <v>Folders de archivo expandibles</v>
      </c>
      <c r="C637" s="63" t="s">
        <v>1449</v>
      </c>
      <c r="D637" s="63">
        <v>6</v>
      </c>
      <c r="E637" s="66">
        <v>200</v>
      </c>
      <c r="F637" s="65">
        <f t="shared" ca="1" si="29"/>
        <v>1200</v>
      </c>
      <c r="G637" s="5"/>
      <c r="H637" s="5"/>
      <c r="I637" s="5"/>
      <c r="J637" s="5"/>
    </row>
    <row r="638" spans="1:10" ht="13.5" customHeight="1" x14ac:dyDescent="0.2">
      <c r="A638" s="78">
        <v>44122025</v>
      </c>
      <c r="B638" s="64" t="str">
        <f t="shared" ca="1" si="28"/>
        <v>Bolsillos de carpetas o accesorios</v>
      </c>
      <c r="C638" s="63" t="s">
        <v>16988</v>
      </c>
      <c r="D638" s="63">
        <v>39</v>
      </c>
      <c r="E638" s="66">
        <v>600</v>
      </c>
      <c r="F638" s="65">
        <f t="shared" ca="1" si="29"/>
        <v>23400</v>
      </c>
      <c r="G638" s="5"/>
      <c r="H638" s="5"/>
      <c r="I638" s="5"/>
      <c r="J638" s="5"/>
    </row>
    <row r="639" spans="1:10" ht="13.5" customHeight="1" x14ac:dyDescent="0.2">
      <c r="A639" s="78">
        <v>44122121</v>
      </c>
      <c r="B639" s="64" t="str">
        <f t="shared" ca="1" si="28"/>
        <v>Clips de pared o tablero</v>
      </c>
      <c r="C639" s="63" t="s">
        <v>16988</v>
      </c>
      <c r="D639" s="63">
        <v>2</v>
      </c>
      <c r="E639" s="66">
        <v>800</v>
      </c>
      <c r="F639" s="65">
        <f t="shared" ca="1" si="29"/>
        <v>1600</v>
      </c>
      <c r="G639" s="5"/>
      <c r="H639" s="5"/>
      <c r="I639" s="5"/>
      <c r="J639" s="5"/>
    </row>
    <row r="640" spans="1:10" ht="13.5" customHeight="1" x14ac:dyDescent="0.2">
      <c r="A640" s="78">
        <v>31201610</v>
      </c>
      <c r="B640" s="64" t="str">
        <f t="shared" ca="1" si="28"/>
        <v>Pegamentos</v>
      </c>
      <c r="C640" s="63" t="s">
        <v>1449</v>
      </c>
      <c r="D640" s="63">
        <v>15</v>
      </c>
      <c r="E640" s="66">
        <v>300</v>
      </c>
      <c r="F640" s="65">
        <f t="shared" ca="1" si="29"/>
        <v>4500</v>
      </c>
      <c r="G640" s="5"/>
      <c r="H640" s="5"/>
      <c r="I640" s="5"/>
      <c r="J640" s="5"/>
    </row>
    <row r="641" spans="1:10" ht="13.5" customHeight="1" x14ac:dyDescent="0.2">
      <c r="A641" s="78">
        <v>31201512</v>
      </c>
      <c r="B641" s="64" t="str">
        <f t="shared" ca="1" si="28"/>
        <v>Cinta transparente</v>
      </c>
      <c r="C641" s="63" t="s">
        <v>1449</v>
      </c>
      <c r="D641" s="63">
        <v>29</v>
      </c>
      <c r="E641" s="66">
        <v>100</v>
      </c>
      <c r="F641" s="65">
        <f t="shared" ca="1" si="29"/>
        <v>2900</v>
      </c>
      <c r="G641" s="5"/>
      <c r="H641" s="5"/>
      <c r="I641" s="5"/>
      <c r="J641" s="5"/>
    </row>
    <row r="642" spans="1:10" ht="13.5" customHeight="1" x14ac:dyDescent="0.2">
      <c r="A642" s="78">
        <v>41111604</v>
      </c>
      <c r="B642" s="64" t="str">
        <f t="shared" ca="1" si="28"/>
        <v>Reglas</v>
      </c>
      <c r="C642" s="63" t="s">
        <v>1449</v>
      </c>
      <c r="D642" s="63">
        <v>9</v>
      </c>
      <c r="E642" s="66">
        <v>50</v>
      </c>
      <c r="F642" s="65">
        <f t="shared" ca="1" si="29"/>
        <v>450</v>
      </c>
      <c r="G642" s="5"/>
      <c r="H642" s="5"/>
      <c r="I642" s="5"/>
      <c r="J642" s="5"/>
    </row>
    <row r="643" spans="1:10" ht="13.5" customHeight="1" x14ac:dyDescent="0.2">
      <c r="A643" s="78">
        <v>14111530</v>
      </c>
      <c r="B643" s="64" t="str">
        <f t="shared" ca="1" si="28"/>
        <v>Papel de notas autoadhesivas</v>
      </c>
      <c r="C643" s="63" t="s">
        <v>4735</v>
      </c>
      <c r="D643" s="63">
        <v>200</v>
      </c>
      <c r="E643" s="66">
        <v>60</v>
      </c>
      <c r="F643" s="65">
        <f t="shared" ca="1" si="29"/>
        <v>12000</v>
      </c>
      <c r="G643" s="5"/>
      <c r="H643" s="5"/>
      <c r="I643" s="5"/>
      <c r="J643" s="5"/>
    </row>
    <row r="644" spans="1:10" ht="13.5" customHeight="1" x14ac:dyDescent="0.2">
      <c r="A644" s="78">
        <v>14111515</v>
      </c>
      <c r="B644" s="64" t="str">
        <f t="shared" ca="1" si="28"/>
        <v>Papel para sumadora o máquina registradora</v>
      </c>
      <c r="C644" s="63" t="s">
        <v>1449</v>
      </c>
      <c r="D644" s="63">
        <v>250</v>
      </c>
      <c r="E644" s="66">
        <v>90</v>
      </c>
      <c r="F644" s="65">
        <f t="shared" ca="1" si="29"/>
        <v>22500</v>
      </c>
      <c r="G644" s="5"/>
      <c r="H644" s="5"/>
      <c r="I644" s="5"/>
      <c r="J644" s="5"/>
    </row>
    <row r="645" spans="1:10" ht="13.5" customHeight="1" x14ac:dyDescent="0.2">
      <c r="A645" s="78">
        <v>14111507</v>
      </c>
      <c r="B645" s="64" t="str">
        <f t="shared" ca="1" si="28"/>
        <v>Papel para impresora o fotocopiadora</v>
      </c>
      <c r="C645" s="63" t="s">
        <v>8725</v>
      </c>
      <c r="D645" s="63">
        <v>600</v>
      </c>
      <c r="E645" s="66">
        <v>200</v>
      </c>
      <c r="F645" s="65">
        <f t="shared" ca="1" si="29"/>
        <v>120000</v>
      </c>
      <c r="G645" s="5"/>
      <c r="H645" s="5"/>
      <c r="I645" s="5"/>
      <c r="J645" s="5"/>
    </row>
    <row r="646" spans="1:10" ht="13.5" customHeight="1" x14ac:dyDescent="0.2">
      <c r="A646" s="78">
        <v>14111526</v>
      </c>
      <c r="B646" s="64" t="str">
        <f t="shared" ca="1" si="28"/>
        <v>Papel libretas o libros de mensajes telefónicos</v>
      </c>
      <c r="C646" s="63" t="s">
        <v>1449</v>
      </c>
      <c r="D646" s="63">
        <v>137</v>
      </c>
      <c r="E646" s="66">
        <v>500</v>
      </c>
      <c r="F646" s="65">
        <f t="shared" ca="1" si="29"/>
        <v>68500</v>
      </c>
      <c r="G646" s="5"/>
      <c r="H646" s="5"/>
      <c r="I646" s="5"/>
      <c r="J646" s="5"/>
    </row>
    <row r="647" spans="1:10" ht="13.5" customHeight="1" x14ac:dyDescent="0.2">
      <c r="A647" s="78">
        <v>14111514</v>
      </c>
      <c r="B647" s="64" t="str">
        <f t="shared" ca="1" si="28"/>
        <v>Blocs o cuadernos de papel</v>
      </c>
      <c r="C647" s="63" t="s">
        <v>4735</v>
      </c>
      <c r="D647" s="63">
        <v>300</v>
      </c>
      <c r="E647" s="66">
        <v>300</v>
      </c>
      <c r="F647" s="65">
        <f t="shared" ca="1" si="29"/>
        <v>90000</v>
      </c>
      <c r="G647" s="5"/>
      <c r="H647" s="5"/>
      <c r="I647" s="5"/>
      <c r="J647" s="5"/>
    </row>
    <row r="648" spans="1:10" ht="13.5" customHeight="1" x14ac:dyDescent="0.2">
      <c r="A648" s="78">
        <v>14111537</v>
      </c>
      <c r="B648" s="64" t="str">
        <f t="shared" ca="1" si="28"/>
        <v>Etiquetas de papel</v>
      </c>
      <c r="C648" s="63" t="s">
        <v>4735</v>
      </c>
      <c r="D648" s="63">
        <v>200</v>
      </c>
      <c r="E648" s="66">
        <v>350</v>
      </c>
      <c r="F648" s="65">
        <f t="shared" ca="1" si="29"/>
        <v>70000</v>
      </c>
      <c r="G648" s="5"/>
      <c r="H648" s="5"/>
      <c r="I648" s="5"/>
      <c r="J648" s="5"/>
    </row>
    <row r="649" spans="1:10" ht="13.5" customHeight="1" x14ac:dyDescent="0.2">
      <c r="A649" s="78">
        <v>14111813</v>
      </c>
      <c r="B649" s="64" t="str">
        <f t="shared" ca="1" si="28"/>
        <v>Formatos o libros de correspondencia</v>
      </c>
      <c r="C649" s="63" t="s">
        <v>1449</v>
      </c>
      <c r="D649" s="63">
        <v>125</v>
      </c>
      <c r="E649" s="66">
        <v>900</v>
      </c>
      <c r="F649" s="65">
        <f t="shared" ca="1" si="29"/>
        <v>112500</v>
      </c>
      <c r="G649" s="5"/>
      <c r="H649" s="5"/>
      <c r="I649" s="5"/>
      <c r="J649" s="5"/>
    </row>
    <row r="650" spans="1:10" ht="13.5" customHeight="1" x14ac:dyDescent="0.2">
      <c r="A650" s="78">
        <v>14111610</v>
      </c>
      <c r="B650" s="64" t="str">
        <f t="shared" ca="1" si="28"/>
        <v>Papel de construcción</v>
      </c>
      <c r="C650" s="63" t="s">
        <v>8725</v>
      </c>
      <c r="D650" s="63">
        <v>150</v>
      </c>
      <c r="E650" s="66">
        <v>300</v>
      </c>
      <c r="F650" s="65">
        <f t="shared" ca="1" si="29"/>
        <v>45000</v>
      </c>
      <c r="G650" s="5"/>
      <c r="H650" s="5"/>
      <c r="I650" s="5"/>
      <c r="J650" s="5"/>
    </row>
    <row r="651" spans="1:10" ht="13.5" customHeight="1" x14ac:dyDescent="0.2">
      <c r="A651" s="78">
        <v>14111519</v>
      </c>
      <c r="B651" s="64" t="str">
        <f t="shared" ca="1" si="28"/>
        <v>Papeles cartulina</v>
      </c>
      <c r="C651" s="63" t="s">
        <v>1449</v>
      </c>
      <c r="D651" s="63">
        <v>170</v>
      </c>
      <c r="E651" s="66">
        <v>100</v>
      </c>
      <c r="F651" s="65">
        <f t="shared" ca="1" si="29"/>
        <v>17000</v>
      </c>
      <c r="G651" s="5"/>
      <c r="H651" s="5"/>
      <c r="I651" s="5"/>
      <c r="J651" s="5"/>
    </row>
    <row r="652" spans="1:10" ht="13.5" customHeight="1" x14ac:dyDescent="0.2">
      <c r="A652" s="78">
        <v>14111523</v>
      </c>
      <c r="B652" s="64" t="str">
        <f t="shared" ca="1" si="28"/>
        <v>Papel calcante</v>
      </c>
      <c r="C652" s="63" t="s">
        <v>16988</v>
      </c>
      <c r="D652" s="63">
        <v>20</v>
      </c>
      <c r="E652" s="66">
        <v>100</v>
      </c>
      <c r="F652" s="65">
        <f t="shared" ca="1" si="29"/>
        <v>2000</v>
      </c>
      <c r="G652" s="5"/>
      <c r="H652" s="5"/>
      <c r="I652" s="5"/>
      <c r="J652" s="5"/>
    </row>
    <row r="653" spans="1:10" ht="14.1" customHeight="1" x14ac:dyDescent="0.2">
      <c r="A653" s="5"/>
      <c r="B653" s="5"/>
      <c r="C653" s="5"/>
      <c r="D653" s="5"/>
      <c r="E653" s="68" t="s">
        <v>12550</v>
      </c>
      <c r="F653" s="69">
        <f ca="1">SUM(Table39[MONTO TOTAL ESTIMADO])</f>
        <v>751850</v>
      </c>
      <c r="G653" s="5"/>
      <c r="H653" s="5" t="str">
        <f>C607</f>
        <v>Bienes</v>
      </c>
      <c r="I653" s="5" t="str">
        <f>E607</f>
        <v>Sí</v>
      </c>
      <c r="J653" s="5" t="str">
        <f>D607</f>
        <v>Compras Menores</v>
      </c>
    </row>
    <row r="654" spans="1:10" ht="14.1" customHeight="1" thickBot="1" x14ac:dyDescent="0.3"/>
    <row r="655" spans="1:10" ht="33.75" customHeight="1" thickBot="1" x14ac:dyDescent="0.25">
      <c r="A655" s="59" t="s">
        <v>16382</v>
      </c>
      <c r="B655" s="59" t="s">
        <v>161</v>
      </c>
      <c r="C655" s="59" t="s">
        <v>11724</v>
      </c>
      <c r="D655" s="59" t="s">
        <v>14378</v>
      </c>
      <c r="E655" s="59" t="s">
        <v>10962</v>
      </c>
      <c r="F655" s="59" t="s">
        <v>11095</v>
      </c>
      <c r="G655" s="5"/>
      <c r="H655" s="5"/>
      <c r="I655" s="5"/>
      <c r="J655" s="5"/>
    </row>
    <row r="656" spans="1:10" ht="13.5" customHeight="1" thickBot="1" x14ac:dyDescent="0.25">
      <c r="A656" s="77" t="s">
        <v>18845</v>
      </c>
      <c r="B656" s="77" t="s">
        <v>18848</v>
      </c>
      <c r="C656" s="61" t="s">
        <v>17797</v>
      </c>
      <c r="D656" s="61" t="s">
        <v>17482</v>
      </c>
      <c r="E656" s="61" t="s">
        <v>8854</v>
      </c>
      <c r="F656" s="61"/>
      <c r="G656" s="5"/>
      <c r="H656" s="5"/>
      <c r="I656" s="5"/>
      <c r="J656" s="5"/>
    </row>
    <row r="657" spans="1:10" ht="14.1" customHeight="1" thickBot="1" x14ac:dyDescent="0.25">
      <c r="A657" s="82" t="s">
        <v>14828</v>
      </c>
      <c r="B657" s="62" t="s">
        <v>8528</v>
      </c>
      <c r="C657" s="71">
        <v>44105</v>
      </c>
      <c r="D657" s="82" t="s">
        <v>9385</v>
      </c>
      <c r="E657" s="62" t="s">
        <v>13093</v>
      </c>
      <c r="F657" s="61" t="s">
        <v>3080</v>
      </c>
      <c r="G657" s="5"/>
      <c r="H657" s="5"/>
      <c r="I657" s="5"/>
      <c r="J657" s="5"/>
    </row>
    <row r="658" spans="1:10" ht="14.1" customHeight="1" thickBot="1" x14ac:dyDescent="0.25">
      <c r="A658" s="83"/>
      <c r="B658" s="62" t="s">
        <v>1786</v>
      </c>
      <c r="C658" s="60">
        <f>IF(C657="","",IF(AND(MONTH(C657)&gt;=1,MONTH(C657)&lt;=3),1,IF(AND(MONTH(C657)&gt;=4,MONTH(C657)&lt;=6),2,IF(AND(MONTH(C657)&gt;=7,MONTH(C657)&lt;=9),3,4))))</f>
        <v>4</v>
      </c>
      <c r="D658" s="83"/>
      <c r="E658" s="62" t="s">
        <v>2417</v>
      </c>
      <c r="F658" s="61" t="s">
        <v>11112</v>
      </c>
      <c r="G658" s="5"/>
      <c r="H658" s="5"/>
      <c r="I658" s="5"/>
      <c r="J658" s="5"/>
    </row>
    <row r="659" spans="1:10" ht="14.1" customHeight="1" thickBot="1" x14ac:dyDescent="0.25">
      <c r="A659" s="83"/>
      <c r="B659" s="62" t="s">
        <v>12942</v>
      </c>
      <c r="C659" s="71">
        <v>44196</v>
      </c>
      <c r="D659" s="83"/>
      <c r="E659" s="62" t="s">
        <v>3073</v>
      </c>
      <c r="F659" s="61" t="s">
        <v>11112</v>
      </c>
      <c r="G659" s="5"/>
      <c r="H659" s="5"/>
      <c r="I659" s="5"/>
      <c r="J659" s="5"/>
    </row>
    <row r="660" spans="1:10" ht="14.1" customHeight="1" thickBot="1" x14ac:dyDescent="0.25">
      <c r="A660" s="83"/>
      <c r="B660" s="62" t="s">
        <v>1786</v>
      </c>
      <c r="C660" s="60">
        <f>IF(C659="","",IF(AND(MONTH(C659)&gt;=1,MONTH(C659)&lt;=3),1,IF(AND(MONTH(C659)&gt;=4,MONTH(C659)&lt;=6),2,IF(AND(MONTH(C659)&gt;=7,MONTH(C659)&lt;=9),3,4))))</f>
        <v>4</v>
      </c>
      <c r="D660" s="83"/>
      <c r="E660" s="62" t="s">
        <v>13192</v>
      </c>
      <c r="F660" s="61" t="s">
        <v>11112</v>
      </c>
      <c r="G660" s="5"/>
      <c r="H660" s="5"/>
      <c r="I660" s="5"/>
      <c r="J660" s="5"/>
    </row>
    <row r="661" spans="1:10" ht="14.1" customHeight="1" thickBot="1" x14ac:dyDescent="0.25">
      <c r="A661" s="5"/>
      <c r="B661" s="5"/>
      <c r="C661" s="5"/>
      <c r="D661" s="5"/>
      <c r="E661" s="5"/>
      <c r="F661" s="5"/>
      <c r="G661" s="5"/>
      <c r="H661" s="5"/>
      <c r="I661" s="5"/>
      <c r="J661" s="5"/>
    </row>
    <row r="662" spans="1:10" ht="14.1" customHeight="1" thickBot="1" x14ac:dyDescent="0.25">
      <c r="A662" s="67" t="s">
        <v>15735</v>
      </c>
      <c r="B662" s="67" t="s">
        <v>16146</v>
      </c>
      <c r="C662" s="67" t="s">
        <v>15641</v>
      </c>
      <c r="D662" s="67" t="s">
        <v>15251</v>
      </c>
      <c r="E662" s="67" t="s">
        <v>6932</v>
      </c>
      <c r="F662" s="67" t="s">
        <v>15280</v>
      </c>
      <c r="G662" s="5"/>
      <c r="H662" s="5"/>
      <c r="I662" s="5"/>
      <c r="J662" s="5"/>
    </row>
    <row r="663" spans="1:10" ht="13.5" customHeight="1" x14ac:dyDescent="0.2">
      <c r="A663" s="78">
        <v>44121708</v>
      </c>
      <c r="B663" s="64" t="str">
        <f t="shared" ref="B663:B700" ca="1" si="30">IFERROR(INDEX(UNSPSCDes,MATCH(INDIRECT(ADDRESS(ROW(),COLUMN()-1,4)),UNSPSCCode,0)),"")</f>
        <v>Marcadores</v>
      </c>
      <c r="C663" s="63" t="s">
        <v>16988</v>
      </c>
      <c r="D663" s="63">
        <v>14</v>
      </c>
      <c r="E663" s="66">
        <v>140</v>
      </c>
      <c r="F663" s="65">
        <f t="shared" ref="F663:F700" ca="1" si="31">INDIRECT(ADDRESS(ROW(),COLUMN()-2,4))*INDIRECT(ADDRESS(ROW(),COLUMN()-1,4))</f>
        <v>1960</v>
      </c>
      <c r="G663" s="5"/>
      <c r="H663" s="5"/>
      <c r="I663" s="5"/>
      <c r="J663" s="5"/>
    </row>
    <row r="664" spans="1:10" ht="13.5" customHeight="1" x14ac:dyDescent="0.2">
      <c r="A664" s="78">
        <v>44121716</v>
      </c>
      <c r="B664" s="64" t="str">
        <f t="shared" ca="1" si="30"/>
        <v>Resaltadores</v>
      </c>
      <c r="C664" s="63" t="s">
        <v>16988</v>
      </c>
      <c r="D664" s="63">
        <v>15</v>
      </c>
      <c r="E664" s="66">
        <v>300</v>
      </c>
      <c r="F664" s="65">
        <f t="shared" ca="1" si="31"/>
        <v>4500</v>
      </c>
      <c r="G664" s="5"/>
      <c r="H664" s="5"/>
      <c r="I664" s="5"/>
      <c r="J664" s="5"/>
    </row>
    <row r="665" spans="1:10" ht="13.5" customHeight="1" x14ac:dyDescent="0.2">
      <c r="A665" s="78">
        <v>44121605</v>
      </c>
      <c r="B665" s="64" t="str">
        <f t="shared" ca="1" si="30"/>
        <v>Dispensadores de cinta</v>
      </c>
      <c r="C665" s="63" t="s">
        <v>1449</v>
      </c>
      <c r="D665" s="63">
        <v>7</v>
      </c>
      <c r="E665" s="66">
        <v>500</v>
      </c>
      <c r="F665" s="65">
        <f t="shared" ca="1" si="31"/>
        <v>3500</v>
      </c>
      <c r="G665" s="5"/>
      <c r="H665" s="5"/>
      <c r="I665" s="5"/>
      <c r="J665" s="5"/>
    </row>
    <row r="666" spans="1:10" ht="13.5" customHeight="1" x14ac:dyDescent="0.2">
      <c r="A666" s="78">
        <v>44121619</v>
      </c>
      <c r="B666" s="64" t="str">
        <f t="shared" ca="1" si="30"/>
        <v>Tajalápices manuales</v>
      </c>
      <c r="C666" s="63" t="s">
        <v>1449</v>
      </c>
      <c r="D666" s="63">
        <v>1</v>
      </c>
      <c r="E666" s="66">
        <v>700</v>
      </c>
      <c r="F666" s="65">
        <f t="shared" ca="1" si="31"/>
        <v>700</v>
      </c>
      <c r="G666" s="5"/>
      <c r="H666" s="5"/>
      <c r="I666" s="5"/>
      <c r="J666" s="5"/>
    </row>
    <row r="667" spans="1:10" ht="13.5" customHeight="1" x14ac:dyDescent="0.2">
      <c r="A667" s="78">
        <v>44122107</v>
      </c>
      <c r="B667" s="64" t="str">
        <f t="shared" ca="1" si="30"/>
        <v>Grapas</v>
      </c>
      <c r="C667" s="63" t="s">
        <v>16988</v>
      </c>
      <c r="D667" s="63">
        <v>15</v>
      </c>
      <c r="E667" s="66">
        <v>40</v>
      </c>
      <c r="F667" s="65">
        <f t="shared" ca="1" si="31"/>
        <v>600</v>
      </c>
      <c r="G667" s="5"/>
      <c r="H667" s="5"/>
      <c r="I667" s="5"/>
      <c r="J667" s="5"/>
    </row>
    <row r="668" spans="1:10" ht="13.5" customHeight="1" x14ac:dyDescent="0.2">
      <c r="A668" s="78">
        <v>44121613</v>
      </c>
      <c r="B668" s="64" t="str">
        <f t="shared" ca="1" si="30"/>
        <v>Removedores de grapas (saca ganchos)</v>
      </c>
      <c r="C668" s="63" t="s">
        <v>1449</v>
      </c>
      <c r="D668" s="63">
        <v>8</v>
      </c>
      <c r="E668" s="66">
        <v>35</v>
      </c>
      <c r="F668" s="65">
        <f t="shared" ca="1" si="31"/>
        <v>280</v>
      </c>
      <c r="G668" s="5"/>
      <c r="H668" s="5"/>
      <c r="I668" s="5"/>
      <c r="J668" s="5"/>
    </row>
    <row r="669" spans="1:10" ht="13.5" customHeight="1" x14ac:dyDescent="0.2">
      <c r="A669" s="78">
        <v>44121615</v>
      </c>
      <c r="B669" s="64" t="str">
        <f t="shared" ca="1" si="30"/>
        <v>Grapadoras</v>
      </c>
      <c r="C669" s="63" t="s">
        <v>1449</v>
      </c>
      <c r="D669" s="63">
        <v>8</v>
      </c>
      <c r="E669" s="66">
        <v>900</v>
      </c>
      <c r="F669" s="65">
        <f t="shared" ca="1" si="31"/>
        <v>7200</v>
      </c>
      <c r="G669" s="5"/>
      <c r="H669" s="5"/>
      <c r="I669" s="5"/>
      <c r="J669" s="5"/>
    </row>
    <row r="670" spans="1:10" ht="13.5" customHeight="1" x14ac:dyDescent="0.2">
      <c r="A670" s="78">
        <v>44121618</v>
      </c>
      <c r="B670" s="64" t="str">
        <f t="shared" ca="1" si="30"/>
        <v>Tijeras</v>
      </c>
      <c r="C670" s="63" t="s">
        <v>1449</v>
      </c>
      <c r="D670" s="63">
        <v>4</v>
      </c>
      <c r="E670" s="66">
        <v>50</v>
      </c>
      <c r="F670" s="65">
        <f t="shared" ca="1" si="31"/>
        <v>200</v>
      </c>
      <c r="G670" s="5"/>
      <c r="H670" s="5"/>
      <c r="I670" s="5"/>
      <c r="J670" s="5"/>
    </row>
    <row r="671" spans="1:10" ht="13.5" customHeight="1" x14ac:dyDescent="0.2">
      <c r="A671" s="78">
        <v>44122104</v>
      </c>
      <c r="B671" s="64" t="str">
        <f t="shared" ca="1" si="30"/>
        <v>Clips para papel</v>
      </c>
      <c r="C671" s="63" t="s">
        <v>16988</v>
      </c>
      <c r="D671" s="63">
        <v>16</v>
      </c>
      <c r="E671" s="66">
        <v>35</v>
      </c>
      <c r="F671" s="65">
        <f t="shared" ca="1" si="31"/>
        <v>560</v>
      </c>
      <c r="G671" s="5"/>
      <c r="H671" s="5"/>
      <c r="I671" s="5"/>
      <c r="J671" s="5"/>
    </row>
    <row r="672" spans="1:10" ht="13.5" customHeight="1" x14ac:dyDescent="0.2">
      <c r="A672" s="78">
        <v>44122105</v>
      </c>
      <c r="B672" s="64" t="str">
        <f t="shared" ca="1" si="30"/>
        <v>Clips para carpetas o bulldog</v>
      </c>
      <c r="C672" s="63" t="s">
        <v>1449</v>
      </c>
      <c r="D672" s="63">
        <v>17</v>
      </c>
      <c r="E672" s="66">
        <v>60</v>
      </c>
      <c r="F672" s="65">
        <f t="shared" ca="1" si="31"/>
        <v>1020</v>
      </c>
      <c r="G672" s="5"/>
      <c r="H672" s="5"/>
      <c r="I672" s="5"/>
      <c r="J672" s="5"/>
    </row>
    <row r="673" spans="1:10" ht="13.5" customHeight="1" x14ac:dyDescent="0.2">
      <c r="A673" s="78">
        <v>44121628</v>
      </c>
      <c r="B673" s="64" t="str">
        <f t="shared" ca="1" si="30"/>
        <v>Contenedores o dispensadores de clips</v>
      </c>
      <c r="C673" s="63" t="s">
        <v>1449</v>
      </c>
      <c r="D673" s="63">
        <v>12</v>
      </c>
      <c r="E673" s="66">
        <v>70</v>
      </c>
      <c r="F673" s="65">
        <f t="shared" ca="1" si="31"/>
        <v>840</v>
      </c>
      <c r="G673" s="5"/>
      <c r="H673" s="5"/>
      <c r="I673" s="5"/>
      <c r="J673" s="5"/>
    </row>
    <row r="674" spans="1:10" ht="13.5" customHeight="1" x14ac:dyDescent="0.2">
      <c r="A674" s="78">
        <v>44121802</v>
      </c>
      <c r="B674" s="64" t="str">
        <f t="shared" ca="1" si="30"/>
        <v>Fluido de corrección</v>
      </c>
      <c r="C674" s="63" t="s">
        <v>1449</v>
      </c>
      <c r="D674" s="63">
        <v>10</v>
      </c>
      <c r="E674" s="66">
        <v>40</v>
      </c>
      <c r="F674" s="65">
        <f t="shared" ca="1" si="31"/>
        <v>400</v>
      </c>
      <c r="G674" s="5"/>
      <c r="H674" s="5"/>
      <c r="I674" s="5"/>
      <c r="J674" s="5"/>
    </row>
    <row r="675" spans="1:10" ht="13.5" customHeight="1" x14ac:dyDescent="0.2">
      <c r="A675" s="78">
        <v>44122017</v>
      </c>
      <c r="B675" s="64" t="str">
        <f t="shared" ca="1" si="30"/>
        <v>Folders de colgar o accesorios</v>
      </c>
      <c r="C675" s="63" t="s">
        <v>16988</v>
      </c>
      <c r="D675" s="63">
        <v>23</v>
      </c>
      <c r="E675" s="66">
        <v>2500</v>
      </c>
      <c r="F675" s="65">
        <f t="shared" ca="1" si="31"/>
        <v>57500</v>
      </c>
      <c r="G675" s="5"/>
      <c r="H675" s="5"/>
      <c r="I675" s="5"/>
      <c r="J675" s="5"/>
    </row>
    <row r="676" spans="1:10" ht="13.5" customHeight="1" x14ac:dyDescent="0.2">
      <c r="A676" s="78">
        <v>44122011</v>
      </c>
      <c r="B676" s="64" t="str">
        <f t="shared" ca="1" si="30"/>
        <v>Folders</v>
      </c>
      <c r="C676" s="63" t="s">
        <v>16988</v>
      </c>
      <c r="D676" s="63">
        <v>21</v>
      </c>
      <c r="E676" s="66">
        <v>2000</v>
      </c>
      <c r="F676" s="65">
        <f t="shared" ca="1" si="31"/>
        <v>42000</v>
      </c>
      <c r="G676" s="5"/>
      <c r="H676" s="5"/>
      <c r="I676" s="5"/>
      <c r="J676" s="5"/>
    </row>
    <row r="677" spans="1:10" ht="13.5" customHeight="1" x14ac:dyDescent="0.2">
      <c r="A677" s="78">
        <v>44121706</v>
      </c>
      <c r="B677" s="64" t="str">
        <f t="shared" ca="1" si="30"/>
        <v>Lápices de madera</v>
      </c>
      <c r="C677" s="63" t="s">
        <v>16988</v>
      </c>
      <c r="D677" s="63">
        <v>24</v>
      </c>
      <c r="E677" s="66">
        <v>50</v>
      </c>
      <c r="F677" s="65">
        <f t="shared" ca="1" si="31"/>
        <v>1200</v>
      </c>
      <c r="G677" s="5"/>
      <c r="H677" s="5"/>
      <c r="I677" s="5"/>
      <c r="J677" s="5"/>
    </row>
    <row r="678" spans="1:10" ht="13.5" customHeight="1" x14ac:dyDescent="0.2">
      <c r="A678" s="78">
        <v>44121701</v>
      </c>
      <c r="B678" s="64" t="str">
        <f t="shared" ca="1" si="30"/>
        <v>Bolígrafos</v>
      </c>
      <c r="C678" s="63" t="s">
        <v>16988</v>
      </c>
      <c r="D678" s="63">
        <v>25</v>
      </c>
      <c r="E678" s="66">
        <v>45</v>
      </c>
      <c r="F678" s="65">
        <f t="shared" ca="1" si="31"/>
        <v>1125</v>
      </c>
      <c r="G678" s="5"/>
      <c r="H678" s="5"/>
      <c r="I678" s="5"/>
      <c r="J678" s="5"/>
    </row>
    <row r="679" spans="1:10" ht="13.5" customHeight="1" x14ac:dyDescent="0.2">
      <c r="A679" s="78">
        <v>44122018</v>
      </c>
      <c r="B679" s="64" t="str">
        <f t="shared" ca="1" si="30"/>
        <v>Insertos o pestañas para archivos</v>
      </c>
      <c r="C679" s="63" t="s">
        <v>16988</v>
      </c>
      <c r="D679" s="63">
        <v>22</v>
      </c>
      <c r="E679" s="66">
        <v>50</v>
      </c>
      <c r="F679" s="65">
        <f t="shared" ca="1" si="31"/>
        <v>1100</v>
      </c>
      <c r="G679" s="5"/>
      <c r="H679" s="5"/>
      <c r="I679" s="5"/>
      <c r="J679" s="5"/>
    </row>
    <row r="680" spans="1:10" ht="13.5" customHeight="1" x14ac:dyDescent="0.2">
      <c r="A680" s="78">
        <v>44121503</v>
      </c>
      <c r="B680" s="64" t="str">
        <f t="shared" ca="1" si="30"/>
        <v>Sobres</v>
      </c>
      <c r="C680" s="63" t="s">
        <v>16988</v>
      </c>
      <c r="D680" s="63">
        <v>19</v>
      </c>
      <c r="E680" s="66">
        <v>400</v>
      </c>
      <c r="F680" s="65">
        <f t="shared" ca="1" si="31"/>
        <v>7600</v>
      </c>
      <c r="G680" s="5"/>
      <c r="H680" s="5"/>
      <c r="I680" s="5"/>
      <c r="J680" s="5"/>
    </row>
    <row r="681" spans="1:10" ht="13.5" customHeight="1" x14ac:dyDescent="0.2">
      <c r="A681" s="78">
        <v>44122003</v>
      </c>
      <c r="B681" s="64" t="str">
        <f t="shared" ca="1" si="30"/>
        <v>Carpetas</v>
      </c>
      <c r="C681" s="63" t="s">
        <v>1449</v>
      </c>
      <c r="D681" s="63">
        <v>18</v>
      </c>
      <c r="E681" s="66">
        <v>500</v>
      </c>
      <c r="F681" s="65">
        <f t="shared" ca="1" si="31"/>
        <v>9000</v>
      </c>
      <c r="G681" s="5"/>
      <c r="H681" s="5"/>
      <c r="I681" s="5"/>
      <c r="J681" s="5"/>
    </row>
    <row r="682" spans="1:10" ht="13.5" customHeight="1" x14ac:dyDescent="0.2">
      <c r="A682" s="78">
        <v>44121804</v>
      </c>
      <c r="B682" s="64" t="str">
        <f t="shared" ca="1" si="30"/>
        <v>Borradores</v>
      </c>
      <c r="C682" s="63" t="s">
        <v>1449</v>
      </c>
      <c r="D682" s="63">
        <v>3</v>
      </c>
      <c r="E682" s="66">
        <v>10</v>
      </c>
      <c r="F682" s="65">
        <f t="shared" ca="1" si="31"/>
        <v>30</v>
      </c>
      <c r="G682" s="5"/>
      <c r="H682" s="5"/>
      <c r="I682" s="5"/>
      <c r="J682" s="5"/>
    </row>
    <row r="683" spans="1:10" ht="13.5" customHeight="1" x14ac:dyDescent="0.2">
      <c r="A683" s="78">
        <v>44121611</v>
      </c>
      <c r="B683" s="64" t="str">
        <f t="shared" ca="1" si="30"/>
        <v>Punzones para papel u ojales</v>
      </c>
      <c r="C683" s="63" t="s">
        <v>16988</v>
      </c>
      <c r="D683" s="63">
        <v>20</v>
      </c>
      <c r="E683" s="66">
        <v>100</v>
      </c>
      <c r="F683" s="65">
        <f t="shared" ca="1" si="31"/>
        <v>2000</v>
      </c>
      <c r="G683" s="5"/>
      <c r="H683" s="5"/>
      <c r="I683" s="5"/>
      <c r="J683" s="5"/>
    </row>
    <row r="684" spans="1:10" ht="13.5" customHeight="1" x14ac:dyDescent="0.2">
      <c r="A684" s="78">
        <v>44122101</v>
      </c>
      <c r="B684" s="64" t="str">
        <f t="shared" ca="1" si="30"/>
        <v>Cauchos</v>
      </c>
      <c r="C684" s="63" t="s">
        <v>16988</v>
      </c>
      <c r="D684" s="63">
        <v>18</v>
      </c>
      <c r="E684" s="66">
        <v>40</v>
      </c>
      <c r="F684" s="65">
        <f t="shared" ca="1" si="31"/>
        <v>720</v>
      </c>
      <c r="G684" s="5"/>
      <c r="H684" s="5"/>
      <c r="I684" s="5"/>
      <c r="J684" s="5"/>
    </row>
    <row r="685" spans="1:10" ht="13.5" customHeight="1" x14ac:dyDescent="0.2">
      <c r="A685" s="78">
        <v>44121904</v>
      </c>
      <c r="B685" s="64" t="str">
        <f t="shared" ca="1" si="30"/>
        <v>Repuestos de tinta</v>
      </c>
      <c r="C685" s="63" t="s">
        <v>1449</v>
      </c>
      <c r="D685" s="63">
        <v>8</v>
      </c>
      <c r="E685" s="66">
        <v>250</v>
      </c>
      <c r="F685" s="65">
        <f t="shared" ca="1" si="31"/>
        <v>2000</v>
      </c>
      <c r="G685" s="5"/>
      <c r="H685" s="5"/>
      <c r="I685" s="5"/>
      <c r="J685" s="5"/>
    </row>
    <row r="686" spans="1:10" ht="13.5" customHeight="1" x14ac:dyDescent="0.2">
      <c r="A686" s="78">
        <v>44122027</v>
      </c>
      <c r="B686" s="64" t="str">
        <f t="shared" ca="1" si="30"/>
        <v>Folders de archivo expandibles</v>
      </c>
      <c r="C686" s="63" t="s">
        <v>1449</v>
      </c>
      <c r="D686" s="63">
        <v>2</v>
      </c>
      <c r="E686" s="66">
        <v>200</v>
      </c>
      <c r="F686" s="65">
        <f t="shared" ca="1" si="31"/>
        <v>400</v>
      </c>
      <c r="G686" s="5"/>
      <c r="H686" s="5"/>
      <c r="I686" s="5"/>
      <c r="J686" s="5"/>
    </row>
    <row r="687" spans="1:10" ht="13.5" customHeight="1" x14ac:dyDescent="0.2">
      <c r="A687" s="78">
        <v>44122025</v>
      </c>
      <c r="B687" s="64" t="str">
        <f t="shared" ca="1" si="30"/>
        <v>Bolsillos de carpetas o accesorios</v>
      </c>
      <c r="C687" s="63" t="s">
        <v>16988</v>
      </c>
      <c r="D687" s="63">
        <v>24</v>
      </c>
      <c r="E687" s="66">
        <v>600</v>
      </c>
      <c r="F687" s="65">
        <f t="shared" ca="1" si="31"/>
        <v>14400</v>
      </c>
      <c r="G687" s="5"/>
      <c r="H687" s="5"/>
      <c r="I687" s="5"/>
      <c r="J687" s="5"/>
    </row>
    <row r="688" spans="1:10" ht="13.5" customHeight="1" x14ac:dyDescent="0.2">
      <c r="A688" s="78">
        <v>31201610</v>
      </c>
      <c r="B688" s="64" t="str">
        <f t="shared" ca="1" si="30"/>
        <v>Pegamentos</v>
      </c>
      <c r="C688" s="63" t="s">
        <v>1449</v>
      </c>
      <c r="D688" s="63">
        <v>15</v>
      </c>
      <c r="E688" s="66">
        <v>300</v>
      </c>
      <c r="F688" s="65">
        <f t="shared" ca="1" si="31"/>
        <v>4500</v>
      </c>
      <c r="G688" s="5"/>
      <c r="H688" s="5"/>
      <c r="I688" s="5"/>
      <c r="J688" s="5"/>
    </row>
    <row r="689" spans="1:10" ht="13.5" customHeight="1" x14ac:dyDescent="0.2">
      <c r="A689" s="78">
        <v>31201512</v>
      </c>
      <c r="B689" s="64" t="str">
        <f t="shared" ca="1" si="30"/>
        <v>Cinta transparente</v>
      </c>
      <c r="C689" s="63" t="s">
        <v>1449</v>
      </c>
      <c r="D689" s="63">
        <v>30</v>
      </c>
      <c r="E689" s="66">
        <v>100</v>
      </c>
      <c r="F689" s="65">
        <f t="shared" ca="1" si="31"/>
        <v>3000</v>
      </c>
      <c r="G689" s="5"/>
      <c r="H689" s="5"/>
      <c r="I689" s="5"/>
      <c r="J689" s="5"/>
    </row>
    <row r="690" spans="1:10" ht="13.5" customHeight="1" x14ac:dyDescent="0.2">
      <c r="A690" s="78">
        <v>41111604</v>
      </c>
      <c r="B690" s="64" t="str">
        <f t="shared" ca="1" si="30"/>
        <v>Reglas</v>
      </c>
      <c r="C690" s="63" t="s">
        <v>1449</v>
      </c>
      <c r="D690" s="63">
        <v>7</v>
      </c>
      <c r="E690" s="66">
        <v>50</v>
      </c>
      <c r="F690" s="65">
        <f t="shared" ca="1" si="31"/>
        <v>350</v>
      </c>
      <c r="G690" s="5"/>
      <c r="H690" s="5"/>
      <c r="I690" s="5"/>
      <c r="J690" s="5"/>
    </row>
    <row r="691" spans="1:10" ht="13.5" customHeight="1" x14ac:dyDescent="0.2">
      <c r="A691" s="78">
        <v>14111530</v>
      </c>
      <c r="B691" s="64" t="str">
        <f t="shared" ca="1" si="30"/>
        <v>Papel de notas autoadhesivas</v>
      </c>
      <c r="C691" s="63" t="s">
        <v>4735</v>
      </c>
      <c r="D691" s="63">
        <v>200</v>
      </c>
      <c r="E691" s="66">
        <v>60</v>
      </c>
      <c r="F691" s="65">
        <f t="shared" ca="1" si="31"/>
        <v>12000</v>
      </c>
      <c r="G691" s="5"/>
      <c r="H691" s="5"/>
      <c r="I691" s="5"/>
      <c r="J691" s="5"/>
    </row>
    <row r="692" spans="1:10" ht="13.5" customHeight="1" x14ac:dyDescent="0.2">
      <c r="A692" s="78">
        <v>14111515</v>
      </c>
      <c r="B692" s="64" t="str">
        <f t="shared" ca="1" si="30"/>
        <v>Papel para sumadora o máquina registradora</v>
      </c>
      <c r="C692" s="63" t="s">
        <v>1449</v>
      </c>
      <c r="D692" s="63">
        <v>200</v>
      </c>
      <c r="E692" s="66">
        <v>90</v>
      </c>
      <c r="F692" s="65">
        <f t="shared" ca="1" si="31"/>
        <v>18000</v>
      </c>
      <c r="G692" s="5"/>
      <c r="H692" s="5"/>
      <c r="I692" s="5"/>
      <c r="J692" s="5"/>
    </row>
    <row r="693" spans="1:10" ht="13.5" customHeight="1" x14ac:dyDescent="0.2">
      <c r="A693" s="78">
        <v>14111507</v>
      </c>
      <c r="B693" s="64" t="str">
        <f t="shared" ca="1" si="30"/>
        <v>Papel para impresora o fotocopiadora</v>
      </c>
      <c r="C693" s="63" t="s">
        <v>8725</v>
      </c>
      <c r="D693" s="63">
        <v>600</v>
      </c>
      <c r="E693" s="66">
        <v>200</v>
      </c>
      <c r="F693" s="65">
        <f t="shared" ca="1" si="31"/>
        <v>120000</v>
      </c>
      <c r="G693" s="5"/>
      <c r="H693" s="5"/>
      <c r="I693" s="5"/>
      <c r="J693" s="5"/>
    </row>
    <row r="694" spans="1:10" ht="13.5" customHeight="1" x14ac:dyDescent="0.2">
      <c r="A694" s="78">
        <v>14111526</v>
      </c>
      <c r="B694" s="64" t="str">
        <f t="shared" ca="1" si="30"/>
        <v>Papel libretas o libros de mensajes telefónicos</v>
      </c>
      <c r="C694" s="63" t="s">
        <v>1449</v>
      </c>
      <c r="D694" s="63">
        <v>137</v>
      </c>
      <c r="E694" s="66">
        <v>500</v>
      </c>
      <c r="F694" s="65">
        <f t="shared" ca="1" si="31"/>
        <v>68500</v>
      </c>
      <c r="G694" s="5"/>
      <c r="H694" s="5"/>
      <c r="I694" s="5"/>
      <c r="J694" s="5"/>
    </row>
    <row r="695" spans="1:10" ht="13.5" customHeight="1" x14ac:dyDescent="0.2">
      <c r="A695" s="78">
        <v>14111514</v>
      </c>
      <c r="B695" s="64" t="str">
        <f t="shared" ca="1" si="30"/>
        <v>Blocs o cuadernos de papel</v>
      </c>
      <c r="C695" s="63" t="s">
        <v>4735</v>
      </c>
      <c r="D695" s="63">
        <v>300</v>
      </c>
      <c r="E695" s="66">
        <v>300</v>
      </c>
      <c r="F695" s="65">
        <f t="shared" ca="1" si="31"/>
        <v>90000</v>
      </c>
      <c r="G695" s="5"/>
      <c r="H695" s="5"/>
      <c r="I695" s="5"/>
      <c r="J695" s="5"/>
    </row>
    <row r="696" spans="1:10" ht="13.5" customHeight="1" x14ac:dyDescent="0.2">
      <c r="A696" s="78">
        <v>14111537</v>
      </c>
      <c r="B696" s="64" t="str">
        <f t="shared" ca="1" si="30"/>
        <v>Etiquetas de papel</v>
      </c>
      <c r="C696" s="63" t="s">
        <v>4735</v>
      </c>
      <c r="D696" s="63">
        <v>100</v>
      </c>
      <c r="E696" s="66">
        <v>350</v>
      </c>
      <c r="F696" s="65">
        <f t="shared" ca="1" si="31"/>
        <v>35000</v>
      </c>
      <c r="G696" s="5"/>
      <c r="H696" s="5"/>
      <c r="I696" s="5"/>
      <c r="J696" s="5"/>
    </row>
    <row r="697" spans="1:10" ht="13.5" customHeight="1" x14ac:dyDescent="0.2">
      <c r="A697" s="78">
        <v>14111813</v>
      </c>
      <c r="B697" s="64" t="str">
        <f t="shared" ca="1" si="30"/>
        <v>Formatos o libros de correspondencia</v>
      </c>
      <c r="C697" s="63" t="s">
        <v>1449</v>
      </c>
      <c r="D697" s="63">
        <v>125</v>
      </c>
      <c r="E697" s="66">
        <v>900</v>
      </c>
      <c r="F697" s="65">
        <f t="shared" ca="1" si="31"/>
        <v>112500</v>
      </c>
      <c r="G697" s="5"/>
      <c r="H697" s="5"/>
      <c r="I697" s="5"/>
      <c r="J697" s="5"/>
    </row>
    <row r="698" spans="1:10" ht="13.5" customHeight="1" x14ac:dyDescent="0.2">
      <c r="A698" s="78">
        <v>14111610</v>
      </c>
      <c r="B698" s="64" t="str">
        <f t="shared" ca="1" si="30"/>
        <v>Papel de construcción</v>
      </c>
      <c r="C698" s="63" t="s">
        <v>8725</v>
      </c>
      <c r="D698" s="63">
        <v>150</v>
      </c>
      <c r="E698" s="66">
        <v>300</v>
      </c>
      <c r="F698" s="65">
        <f t="shared" ca="1" si="31"/>
        <v>45000</v>
      </c>
      <c r="G698" s="5"/>
      <c r="H698" s="5"/>
      <c r="I698" s="5"/>
      <c r="J698" s="5"/>
    </row>
    <row r="699" spans="1:10" ht="13.5" customHeight="1" x14ac:dyDescent="0.2">
      <c r="A699" s="78">
        <v>14111519</v>
      </c>
      <c r="B699" s="64" t="str">
        <f t="shared" ca="1" si="30"/>
        <v>Papeles cartulina</v>
      </c>
      <c r="C699" s="63" t="s">
        <v>1449</v>
      </c>
      <c r="D699" s="63">
        <v>100</v>
      </c>
      <c r="E699" s="66">
        <v>100</v>
      </c>
      <c r="F699" s="65">
        <f t="shared" ca="1" si="31"/>
        <v>10000</v>
      </c>
      <c r="G699" s="5"/>
      <c r="H699" s="5"/>
      <c r="I699" s="5"/>
      <c r="J699" s="5"/>
    </row>
    <row r="700" spans="1:10" ht="13.5" customHeight="1" x14ac:dyDescent="0.2">
      <c r="A700" s="78">
        <v>14111523</v>
      </c>
      <c r="B700" s="64" t="str">
        <f t="shared" ca="1" si="30"/>
        <v>Papel calcante</v>
      </c>
      <c r="C700" s="63" t="s">
        <v>16988</v>
      </c>
      <c r="D700" s="63">
        <v>20</v>
      </c>
      <c r="E700" s="66">
        <v>100</v>
      </c>
      <c r="F700" s="65">
        <f t="shared" ca="1" si="31"/>
        <v>2000</v>
      </c>
      <c r="G700" s="5"/>
      <c r="H700" s="5"/>
      <c r="I700" s="5"/>
      <c r="J700" s="5"/>
    </row>
    <row r="701" spans="1:10" ht="14.1" customHeight="1" x14ac:dyDescent="0.2">
      <c r="A701" s="5"/>
      <c r="B701" s="5"/>
      <c r="C701" s="5"/>
      <c r="D701" s="5"/>
      <c r="E701" s="68" t="s">
        <v>12550</v>
      </c>
      <c r="F701" s="69">
        <f ca="1">SUM(Table310[MONTO TOTAL ESTIMADO])</f>
        <v>681685</v>
      </c>
      <c r="G701" s="5"/>
      <c r="H701" s="5" t="str">
        <f>C656</f>
        <v>Bienes</v>
      </c>
      <c r="I701" s="5" t="str">
        <f>E656</f>
        <v>Sí</v>
      </c>
      <c r="J701" s="5" t="str">
        <f>D656</f>
        <v>Compras Menores</v>
      </c>
    </row>
    <row r="702" spans="1:10" ht="14.1" customHeight="1" thickBot="1" x14ac:dyDescent="0.3"/>
    <row r="703" spans="1:10" ht="33.75" customHeight="1" thickBot="1" x14ac:dyDescent="0.25">
      <c r="A703" s="59" t="s">
        <v>16382</v>
      </c>
      <c r="B703" s="59" t="s">
        <v>161</v>
      </c>
      <c r="C703" s="59" t="s">
        <v>11724</v>
      </c>
      <c r="D703" s="59" t="s">
        <v>14378</v>
      </c>
      <c r="E703" s="59" t="s">
        <v>10962</v>
      </c>
      <c r="F703" s="59" t="s">
        <v>11095</v>
      </c>
      <c r="G703" s="5"/>
      <c r="H703" s="5"/>
      <c r="I703" s="5"/>
      <c r="J703" s="5"/>
    </row>
    <row r="704" spans="1:10" ht="13.5" customHeight="1" thickBot="1" x14ac:dyDescent="0.25">
      <c r="A704" s="77" t="s">
        <v>18851</v>
      </c>
      <c r="B704" s="77" t="s">
        <v>18852</v>
      </c>
      <c r="C704" s="61" t="s">
        <v>17797</v>
      </c>
      <c r="D704" s="61" t="s">
        <v>10171</v>
      </c>
      <c r="E704" s="61" t="s">
        <v>17853</v>
      </c>
      <c r="F704" s="61"/>
      <c r="G704" s="5"/>
      <c r="H704" s="5"/>
      <c r="I704" s="5"/>
      <c r="J704" s="5"/>
    </row>
    <row r="705" spans="1:10" ht="14.1" customHeight="1" thickBot="1" x14ac:dyDescent="0.25">
      <c r="A705" s="82" t="s">
        <v>14828</v>
      </c>
      <c r="B705" s="62" t="s">
        <v>8528</v>
      </c>
      <c r="C705" s="71">
        <v>43831</v>
      </c>
      <c r="D705" s="82" t="s">
        <v>9385</v>
      </c>
      <c r="E705" s="62" t="s">
        <v>13093</v>
      </c>
      <c r="F705" s="61" t="s">
        <v>3080</v>
      </c>
      <c r="G705" s="5"/>
      <c r="H705" s="5"/>
      <c r="I705" s="5"/>
      <c r="J705" s="5"/>
    </row>
    <row r="706" spans="1:10" ht="14.1" customHeight="1" thickBot="1" x14ac:dyDescent="0.25">
      <c r="A706" s="83"/>
      <c r="B706" s="62" t="s">
        <v>1786</v>
      </c>
      <c r="C706" s="60">
        <f>IF(C705="","",IF(AND(MONTH(C705)&gt;=1,MONTH(C705)&lt;=3),1,IF(AND(MONTH(C705)&gt;=4,MONTH(C705)&lt;=6),2,IF(AND(MONTH(C705)&gt;=7,MONTH(C705)&lt;=9),3,4))))</f>
        <v>1</v>
      </c>
      <c r="D706" s="83"/>
      <c r="E706" s="62" t="s">
        <v>2417</v>
      </c>
      <c r="F706" s="61" t="s">
        <v>11112</v>
      </c>
      <c r="G706" s="5"/>
      <c r="H706" s="5"/>
      <c r="I706" s="5"/>
      <c r="J706" s="5"/>
    </row>
    <row r="707" spans="1:10" ht="14.1" customHeight="1" thickBot="1" x14ac:dyDescent="0.25">
      <c r="A707" s="83"/>
      <c r="B707" s="62" t="s">
        <v>12942</v>
      </c>
      <c r="C707" s="71">
        <v>43921</v>
      </c>
      <c r="D707" s="83"/>
      <c r="E707" s="62" t="s">
        <v>3073</v>
      </c>
      <c r="F707" s="61" t="s">
        <v>11112</v>
      </c>
      <c r="G707" s="5"/>
      <c r="H707" s="5"/>
      <c r="I707" s="5"/>
      <c r="J707" s="5"/>
    </row>
    <row r="708" spans="1:10" ht="14.1" customHeight="1" thickBot="1" x14ac:dyDescent="0.25">
      <c r="A708" s="83"/>
      <c r="B708" s="62" t="s">
        <v>1786</v>
      </c>
      <c r="C708" s="60">
        <f>IF(C707="","",IF(AND(MONTH(C707)&gt;=1,MONTH(C707)&lt;=3),1,IF(AND(MONTH(C707)&gt;=4,MONTH(C707)&lt;=6),2,IF(AND(MONTH(C707)&gt;=7,MONTH(C707)&lt;=9),3,4))))</f>
        <v>1</v>
      </c>
      <c r="D708" s="83"/>
      <c r="E708" s="62" t="s">
        <v>13192</v>
      </c>
      <c r="F708" s="61" t="s">
        <v>11112</v>
      </c>
      <c r="G708" s="5"/>
      <c r="H708" s="5"/>
      <c r="I708" s="5"/>
      <c r="J708" s="5"/>
    </row>
    <row r="709" spans="1:10" ht="14.1" customHeight="1" thickBot="1" x14ac:dyDescent="0.25">
      <c r="A709" s="5"/>
      <c r="B709" s="5"/>
      <c r="C709" s="5"/>
      <c r="D709" s="5"/>
      <c r="E709" s="5"/>
      <c r="F709" s="5"/>
      <c r="G709" s="5"/>
      <c r="H709" s="5"/>
      <c r="I709" s="5"/>
      <c r="J709" s="5"/>
    </row>
    <row r="710" spans="1:10" ht="14.1" customHeight="1" thickBot="1" x14ac:dyDescent="0.25">
      <c r="A710" s="67" t="s">
        <v>15735</v>
      </c>
      <c r="B710" s="67" t="s">
        <v>16146</v>
      </c>
      <c r="C710" s="67" t="s">
        <v>15641</v>
      </c>
      <c r="D710" s="67" t="s">
        <v>15251</v>
      </c>
      <c r="E710" s="67" t="s">
        <v>6932</v>
      </c>
      <c r="F710" s="67" t="s">
        <v>15280</v>
      </c>
      <c r="G710" s="5"/>
      <c r="H710" s="5"/>
      <c r="I710" s="5"/>
      <c r="J710" s="5"/>
    </row>
    <row r="711" spans="1:10" ht="13.5" customHeight="1" x14ac:dyDescent="0.2">
      <c r="A711" s="78">
        <v>49161520</v>
      </c>
      <c r="B711" s="64" t="str">
        <f t="shared" ref="B711:B717" ca="1" si="32">IFERROR(INDEX(UNSPSCDes,MATCH(INDIRECT(ADDRESS(ROW(),COLUMN()-1,4)),UNSPSCCode,0)),"")</f>
        <v>Bates de softbol</v>
      </c>
      <c r="C711" s="63" t="s">
        <v>1449</v>
      </c>
      <c r="D711" s="63">
        <v>4</v>
      </c>
      <c r="E711" s="66">
        <v>3000</v>
      </c>
      <c r="F711" s="65">
        <f t="shared" ref="F711:F717" ca="1" si="33">INDIRECT(ADDRESS(ROW(),COLUMN()-2,4))*INDIRECT(ADDRESS(ROW(),COLUMN()-1,4))</f>
        <v>12000</v>
      </c>
      <c r="G711" s="5"/>
      <c r="H711" s="5"/>
      <c r="I711" s="5"/>
      <c r="J711" s="5"/>
    </row>
    <row r="712" spans="1:10" ht="13.5" customHeight="1" x14ac:dyDescent="0.2">
      <c r="A712" s="78">
        <v>49161603</v>
      </c>
      <c r="B712" s="64" t="str">
        <f t="shared" ca="1" si="32"/>
        <v>Pelotas de básquetbol</v>
      </c>
      <c r="C712" s="63" t="s">
        <v>1449</v>
      </c>
      <c r="D712" s="63">
        <v>4</v>
      </c>
      <c r="E712" s="66">
        <v>1000</v>
      </c>
      <c r="F712" s="65">
        <f t="shared" ca="1" si="33"/>
        <v>4000</v>
      </c>
      <c r="G712" s="5"/>
      <c r="H712" s="5"/>
      <c r="I712" s="5"/>
      <c r="J712" s="5"/>
    </row>
    <row r="713" spans="1:10" ht="13.5" customHeight="1" x14ac:dyDescent="0.2">
      <c r="A713" s="78">
        <v>49161608</v>
      </c>
      <c r="B713" s="64" t="str">
        <f t="shared" ca="1" si="32"/>
        <v>Balones de voleibol</v>
      </c>
      <c r="C713" s="63" t="s">
        <v>1449</v>
      </c>
      <c r="D713" s="63">
        <v>4</v>
      </c>
      <c r="E713" s="66">
        <v>1000</v>
      </c>
      <c r="F713" s="65">
        <f t="shared" ca="1" si="33"/>
        <v>4000</v>
      </c>
      <c r="G713" s="5"/>
      <c r="H713" s="5"/>
      <c r="I713" s="5"/>
      <c r="J713" s="5"/>
    </row>
    <row r="714" spans="1:10" ht="13.5" customHeight="1" x14ac:dyDescent="0.2">
      <c r="A714" s="78">
        <v>49161509</v>
      </c>
      <c r="B714" s="64" t="str">
        <f t="shared" ca="1" si="32"/>
        <v>Balones de softbol</v>
      </c>
      <c r="C714" s="63" t="s">
        <v>16988</v>
      </c>
      <c r="D714" s="63">
        <v>4</v>
      </c>
      <c r="E714" s="66">
        <v>1000</v>
      </c>
      <c r="F714" s="65">
        <f t="shared" ca="1" si="33"/>
        <v>4000</v>
      </c>
      <c r="G714" s="5"/>
      <c r="H714" s="5"/>
      <c r="I714" s="5"/>
      <c r="J714" s="5"/>
    </row>
    <row r="715" spans="1:10" ht="13.5" customHeight="1" x14ac:dyDescent="0.2">
      <c r="A715" s="78">
        <v>49161503</v>
      </c>
      <c r="B715" s="64" t="str">
        <f t="shared" ca="1" si="32"/>
        <v>Pelotas de beisbol</v>
      </c>
      <c r="C715" s="63" t="s">
        <v>16988</v>
      </c>
      <c r="D715" s="63">
        <v>6</v>
      </c>
      <c r="E715" s="66">
        <v>1000</v>
      </c>
      <c r="F715" s="65">
        <f t="shared" ca="1" si="33"/>
        <v>6000</v>
      </c>
      <c r="G715" s="5"/>
      <c r="H715" s="5"/>
      <c r="I715" s="5"/>
      <c r="J715" s="5"/>
    </row>
    <row r="716" spans="1:10" ht="13.5" customHeight="1" x14ac:dyDescent="0.2">
      <c r="A716" s="78">
        <v>49221505</v>
      </c>
      <c r="B716" s="64" t="str">
        <f t="shared" ca="1" si="32"/>
        <v>Mallas o redes para deportes</v>
      </c>
      <c r="C716" s="63" t="s">
        <v>1449</v>
      </c>
      <c r="D716" s="63">
        <v>6</v>
      </c>
      <c r="E716" s="66">
        <v>2000</v>
      </c>
      <c r="F716" s="65">
        <f t="shared" ca="1" si="33"/>
        <v>12000</v>
      </c>
      <c r="G716" s="5"/>
      <c r="H716" s="5"/>
      <c r="I716" s="5"/>
      <c r="J716" s="5"/>
    </row>
    <row r="717" spans="1:10" ht="13.5" customHeight="1" x14ac:dyDescent="0.2">
      <c r="A717" s="78">
        <v>49221508</v>
      </c>
      <c r="B717" s="64" t="str">
        <f t="shared" ca="1" si="32"/>
        <v>Aros de basquetbol</v>
      </c>
      <c r="C717" s="63" t="s">
        <v>1449</v>
      </c>
      <c r="D717" s="63">
        <v>6</v>
      </c>
      <c r="E717" s="66">
        <v>3000</v>
      </c>
      <c r="F717" s="65">
        <f t="shared" ca="1" si="33"/>
        <v>18000</v>
      </c>
      <c r="G717" s="5"/>
      <c r="H717" s="5"/>
      <c r="I717" s="5"/>
      <c r="J717" s="5"/>
    </row>
    <row r="718" spans="1:10" ht="14.1" customHeight="1" x14ac:dyDescent="0.2">
      <c r="A718" s="5"/>
      <c r="B718" s="5"/>
      <c r="C718" s="5"/>
      <c r="D718" s="5"/>
      <c r="E718" s="68" t="s">
        <v>12550</v>
      </c>
      <c r="F718" s="69">
        <f ca="1">SUM(Table323[MONTO TOTAL ESTIMADO])</f>
        <v>60000</v>
      </c>
      <c r="G718" s="5"/>
      <c r="H718" s="5" t="str">
        <f>C704</f>
        <v>Bienes</v>
      </c>
      <c r="I718" s="5" t="str">
        <f>E704</f>
        <v>No</v>
      </c>
      <c r="J718" s="5" t="str">
        <f>D704</f>
        <v>Compras por debajo del Umbral</v>
      </c>
    </row>
    <row r="719" spans="1:10" ht="14.1" customHeight="1" thickBot="1" x14ac:dyDescent="0.3"/>
    <row r="720" spans="1:10" ht="33.75" customHeight="1" thickBot="1" x14ac:dyDescent="0.25">
      <c r="A720" s="59" t="s">
        <v>16382</v>
      </c>
      <c r="B720" s="59" t="s">
        <v>161</v>
      </c>
      <c r="C720" s="59" t="s">
        <v>11724</v>
      </c>
      <c r="D720" s="59" t="s">
        <v>14378</v>
      </c>
      <c r="E720" s="59" t="s">
        <v>10962</v>
      </c>
      <c r="F720" s="59" t="s">
        <v>11095</v>
      </c>
      <c r="G720" s="5"/>
      <c r="H720" s="5"/>
      <c r="I720" s="5"/>
      <c r="J720" s="5"/>
    </row>
    <row r="721" spans="1:10" ht="13.5" customHeight="1" thickBot="1" x14ac:dyDescent="0.25">
      <c r="A721" s="77" t="s">
        <v>18851</v>
      </c>
      <c r="B721" s="77" t="s">
        <v>18852</v>
      </c>
      <c r="C721" s="61" t="s">
        <v>17797</v>
      </c>
      <c r="D721" s="61" t="s">
        <v>10171</v>
      </c>
      <c r="E721" s="61" t="s">
        <v>17853</v>
      </c>
      <c r="F721" s="61"/>
      <c r="G721" s="5"/>
      <c r="H721" s="5"/>
      <c r="I721" s="5"/>
      <c r="J721" s="5"/>
    </row>
    <row r="722" spans="1:10" ht="14.1" customHeight="1" thickBot="1" x14ac:dyDescent="0.25">
      <c r="A722" s="82" t="s">
        <v>14828</v>
      </c>
      <c r="B722" s="62" t="s">
        <v>8528</v>
      </c>
      <c r="C722" s="71">
        <v>43922</v>
      </c>
      <c r="D722" s="82" t="s">
        <v>9385</v>
      </c>
      <c r="E722" s="62" t="s">
        <v>13093</v>
      </c>
      <c r="F722" s="61" t="s">
        <v>3080</v>
      </c>
      <c r="G722" s="5"/>
      <c r="H722" s="5"/>
      <c r="I722" s="5"/>
      <c r="J722" s="5"/>
    </row>
    <row r="723" spans="1:10" ht="14.1" customHeight="1" thickBot="1" x14ac:dyDescent="0.25">
      <c r="A723" s="83"/>
      <c r="B723" s="62" t="s">
        <v>1786</v>
      </c>
      <c r="C723" s="60">
        <f>IF(C722="","",IF(AND(MONTH(C722)&gt;=1,MONTH(C722)&lt;=3),1,IF(AND(MONTH(C722)&gt;=4,MONTH(C722)&lt;=6),2,IF(AND(MONTH(C722)&gt;=7,MONTH(C722)&lt;=9),3,4))))</f>
        <v>2</v>
      </c>
      <c r="D723" s="83"/>
      <c r="E723" s="62" t="s">
        <v>2417</v>
      </c>
      <c r="F723" s="61" t="s">
        <v>11112</v>
      </c>
      <c r="G723" s="5"/>
      <c r="H723" s="5"/>
      <c r="I723" s="5"/>
      <c r="J723" s="5"/>
    </row>
    <row r="724" spans="1:10" ht="14.1" customHeight="1" thickBot="1" x14ac:dyDescent="0.25">
      <c r="A724" s="83"/>
      <c r="B724" s="62" t="s">
        <v>12942</v>
      </c>
      <c r="C724" s="71">
        <v>44012</v>
      </c>
      <c r="D724" s="83"/>
      <c r="E724" s="62" t="s">
        <v>3073</v>
      </c>
      <c r="F724" s="61" t="s">
        <v>11112</v>
      </c>
      <c r="G724" s="5"/>
      <c r="H724" s="5"/>
      <c r="I724" s="5"/>
      <c r="J724" s="5"/>
    </row>
    <row r="725" spans="1:10" ht="14.1" customHeight="1" thickBot="1" x14ac:dyDescent="0.25">
      <c r="A725" s="83"/>
      <c r="B725" s="62" t="s">
        <v>1786</v>
      </c>
      <c r="C725" s="60">
        <f>IF(C724="","",IF(AND(MONTH(C724)&gt;=1,MONTH(C724)&lt;=3),1,IF(AND(MONTH(C724)&gt;=4,MONTH(C724)&lt;=6),2,IF(AND(MONTH(C724)&gt;=7,MONTH(C724)&lt;=9),3,4))))</f>
        <v>2</v>
      </c>
      <c r="D725" s="83"/>
      <c r="E725" s="62" t="s">
        <v>13192</v>
      </c>
      <c r="F725" s="61" t="s">
        <v>11112</v>
      </c>
      <c r="G725" s="5"/>
      <c r="H725" s="5"/>
      <c r="I725" s="5"/>
      <c r="J725" s="5"/>
    </row>
    <row r="726" spans="1:10" ht="14.1" customHeight="1" thickBot="1" x14ac:dyDescent="0.25">
      <c r="A726" s="5"/>
      <c r="B726" s="5"/>
      <c r="C726" s="5"/>
      <c r="D726" s="5"/>
      <c r="E726" s="5"/>
      <c r="F726" s="5"/>
      <c r="G726" s="5"/>
      <c r="H726" s="5"/>
      <c r="I726" s="5"/>
      <c r="J726" s="5"/>
    </row>
    <row r="727" spans="1:10" ht="14.1" customHeight="1" thickBot="1" x14ac:dyDescent="0.25">
      <c r="A727" s="67" t="s">
        <v>15735</v>
      </c>
      <c r="B727" s="67" t="s">
        <v>16146</v>
      </c>
      <c r="C727" s="67" t="s">
        <v>15641</v>
      </c>
      <c r="D727" s="67" t="s">
        <v>15251</v>
      </c>
      <c r="E727" s="67" t="s">
        <v>6932</v>
      </c>
      <c r="F727" s="67" t="s">
        <v>15280</v>
      </c>
      <c r="G727" s="5"/>
      <c r="H727" s="5"/>
      <c r="I727" s="5"/>
      <c r="J727" s="5"/>
    </row>
    <row r="728" spans="1:10" ht="13.5" customHeight="1" x14ac:dyDescent="0.2">
      <c r="A728" s="78">
        <v>49161506</v>
      </c>
      <c r="B728" s="64" t="str">
        <f t="shared" ref="B728:B733" ca="1" si="34">IFERROR(INDEX(UNSPSCDes,MATCH(INDIRECT(ADDRESS(ROW(),COLUMN()-1,4)),UNSPSCCode,0)),"")</f>
        <v>Bates de beisbol</v>
      </c>
      <c r="C728" s="63" t="s">
        <v>1449</v>
      </c>
      <c r="D728" s="63">
        <v>6</v>
      </c>
      <c r="E728" s="66">
        <v>3000</v>
      </c>
      <c r="F728" s="65">
        <f t="shared" ref="F728:F733" ca="1" si="35">INDIRECT(ADDRESS(ROW(),COLUMN()-2,4))*INDIRECT(ADDRESS(ROW(),COLUMN()-1,4))</f>
        <v>18000</v>
      </c>
      <c r="G728" s="5"/>
      <c r="H728" s="5"/>
      <c r="I728" s="5"/>
      <c r="J728" s="5"/>
    </row>
    <row r="729" spans="1:10" ht="13.5" customHeight="1" x14ac:dyDescent="0.2">
      <c r="A729" s="78">
        <v>49161603</v>
      </c>
      <c r="B729" s="64" t="str">
        <f t="shared" ca="1" si="34"/>
        <v>Pelotas de básquetbol</v>
      </c>
      <c r="C729" s="63" t="s">
        <v>1449</v>
      </c>
      <c r="D729" s="63">
        <v>7</v>
      </c>
      <c r="E729" s="66">
        <v>1000</v>
      </c>
      <c r="F729" s="65">
        <f t="shared" ca="1" si="35"/>
        <v>7000</v>
      </c>
      <c r="G729" s="5"/>
      <c r="H729" s="5"/>
      <c r="I729" s="5"/>
      <c r="J729" s="5"/>
    </row>
    <row r="730" spans="1:10" ht="13.5" customHeight="1" x14ac:dyDescent="0.2">
      <c r="A730" s="78">
        <v>49161608</v>
      </c>
      <c r="B730" s="64" t="str">
        <f t="shared" ca="1" si="34"/>
        <v>Balones de voleibol</v>
      </c>
      <c r="C730" s="63" t="s">
        <v>1449</v>
      </c>
      <c r="D730" s="63">
        <v>7</v>
      </c>
      <c r="E730" s="66">
        <v>1000</v>
      </c>
      <c r="F730" s="65">
        <f t="shared" ca="1" si="35"/>
        <v>7000</v>
      </c>
      <c r="G730" s="5"/>
      <c r="H730" s="5"/>
      <c r="I730" s="5"/>
      <c r="J730" s="5"/>
    </row>
    <row r="731" spans="1:10" ht="13.5" customHeight="1" x14ac:dyDescent="0.2">
      <c r="A731" s="78">
        <v>49161521</v>
      </c>
      <c r="B731" s="64" t="str">
        <f t="shared" ca="1" si="34"/>
        <v>Guantes de softbol</v>
      </c>
      <c r="C731" s="63" t="s">
        <v>1449</v>
      </c>
      <c r="D731" s="63">
        <v>7</v>
      </c>
      <c r="E731" s="66">
        <v>2000</v>
      </c>
      <c r="F731" s="65">
        <f t="shared" ca="1" si="35"/>
        <v>14000</v>
      </c>
      <c r="G731" s="5"/>
      <c r="H731" s="5"/>
      <c r="I731" s="5"/>
      <c r="J731" s="5"/>
    </row>
    <row r="732" spans="1:10" ht="13.5" customHeight="1" x14ac:dyDescent="0.2">
      <c r="A732" s="78">
        <v>49161509</v>
      </c>
      <c r="B732" s="64" t="str">
        <f t="shared" ca="1" si="34"/>
        <v>Balones de softbol</v>
      </c>
      <c r="C732" s="63" t="s">
        <v>16988</v>
      </c>
      <c r="D732" s="63">
        <v>7</v>
      </c>
      <c r="E732" s="66">
        <v>1000</v>
      </c>
      <c r="F732" s="65">
        <f t="shared" ca="1" si="35"/>
        <v>7000</v>
      </c>
      <c r="G732" s="5"/>
      <c r="H732" s="5"/>
      <c r="I732" s="5"/>
      <c r="J732" s="5"/>
    </row>
    <row r="733" spans="1:10" ht="13.5" customHeight="1" x14ac:dyDescent="0.2">
      <c r="A733" s="78">
        <v>49161503</v>
      </c>
      <c r="B733" s="64" t="str">
        <f t="shared" ca="1" si="34"/>
        <v>Pelotas de beisbol</v>
      </c>
      <c r="C733" s="63" t="s">
        <v>16988</v>
      </c>
      <c r="D733" s="63">
        <v>7</v>
      </c>
      <c r="E733" s="66">
        <v>1000</v>
      </c>
      <c r="F733" s="65">
        <f t="shared" ca="1" si="35"/>
        <v>7000</v>
      </c>
      <c r="G733" s="5"/>
      <c r="H733" s="5"/>
      <c r="I733" s="5"/>
      <c r="J733" s="5"/>
    </row>
    <row r="734" spans="1:10" ht="14.1" customHeight="1" x14ac:dyDescent="0.2">
      <c r="A734" s="5"/>
      <c r="B734" s="5"/>
      <c r="C734" s="5"/>
      <c r="D734" s="5"/>
      <c r="E734" s="68" t="s">
        <v>12550</v>
      </c>
      <c r="F734" s="69">
        <f ca="1">SUM(Table340[MONTO TOTAL ESTIMADO])</f>
        <v>60000</v>
      </c>
      <c r="G734" s="5"/>
      <c r="H734" s="5" t="str">
        <f>C721</f>
        <v>Bienes</v>
      </c>
      <c r="I734" s="5" t="str">
        <f>E721</f>
        <v>No</v>
      </c>
      <c r="J734" s="5" t="str">
        <f>D721</f>
        <v>Compras por debajo del Umbral</v>
      </c>
    </row>
    <row r="735" spans="1:10" ht="14.1" customHeight="1" thickBot="1" x14ac:dyDescent="0.3"/>
    <row r="736" spans="1:10" ht="33.75" customHeight="1" thickBot="1" x14ac:dyDescent="0.25">
      <c r="A736" s="59" t="s">
        <v>16382</v>
      </c>
      <c r="B736" s="59" t="s">
        <v>161</v>
      </c>
      <c r="C736" s="59" t="s">
        <v>11724</v>
      </c>
      <c r="D736" s="59" t="s">
        <v>14378</v>
      </c>
      <c r="E736" s="59" t="s">
        <v>10962</v>
      </c>
      <c r="F736" s="59" t="s">
        <v>11095</v>
      </c>
      <c r="G736" s="5"/>
      <c r="H736" s="5"/>
      <c r="I736" s="5"/>
      <c r="J736" s="5"/>
    </row>
    <row r="737" spans="1:10" ht="13.5" customHeight="1" thickBot="1" x14ac:dyDescent="0.25">
      <c r="A737" s="77" t="s">
        <v>18853</v>
      </c>
      <c r="B737" s="77" t="s">
        <v>18852</v>
      </c>
      <c r="C737" s="61" t="s">
        <v>17797</v>
      </c>
      <c r="D737" s="61" t="s">
        <v>10171</v>
      </c>
      <c r="E737" s="61" t="s">
        <v>17853</v>
      </c>
      <c r="F737" s="61"/>
      <c r="G737" s="5"/>
      <c r="H737" s="5"/>
      <c r="I737" s="5"/>
      <c r="J737" s="5"/>
    </row>
    <row r="738" spans="1:10" ht="14.1" customHeight="1" thickBot="1" x14ac:dyDescent="0.25">
      <c r="A738" s="82" t="s">
        <v>14828</v>
      </c>
      <c r="B738" s="62" t="s">
        <v>8528</v>
      </c>
      <c r="C738" s="71">
        <v>44013</v>
      </c>
      <c r="D738" s="82" t="s">
        <v>9385</v>
      </c>
      <c r="E738" s="62" t="s">
        <v>13093</v>
      </c>
      <c r="F738" s="61" t="s">
        <v>3080</v>
      </c>
      <c r="G738" s="5"/>
      <c r="H738" s="5"/>
      <c r="I738" s="5"/>
      <c r="J738" s="5"/>
    </row>
    <row r="739" spans="1:10" ht="14.1" customHeight="1" thickBot="1" x14ac:dyDescent="0.25">
      <c r="A739" s="83"/>
      <c r="B739" s="62" t="s">
        <v>1786</v>
      </c>
      <c r="C739" s="60">
        <f>IF(C738="","",IF(AND(MONTH(C738)&gt;=1,MONTH(C738)&lt;=3),1,IF(AND(MONTH(C738)&gt;=4,MONTH(C738)&lt;=6),2,IF(AND(MONTH(C738)&gt;=7,MONTH(C738)&lt;=9),3,4))))</f>
        <v>3</v>
      </c>
      <c r="D739" s="83"/>
      <c r="E739" s="62" t="s">
        <v>2417</v>
      </c>
      <c r="F739" s="61" t="s">
        <v>11112</v>
      </c>
      <c r="G739" s="5"/>
      <c r="H739" s="5"/>
      <c r="I739" s="5"/>
      <c r="J739" s="5"/>
    </row>
    <row r="740" spans="1:10" ht="14.1" customHeight="1" thickBot="1" x14ac:dyDescent="0.25">
      <c r="A740" s="83"/>
      <c r="B740" s="62" t="s">
        <v>12942</v>
      </c>
      <c r="C740" s="71">
        <v>44104</v>
      </c>
      <c r="D740" s="83"/>
      <c r="E740" s="62" t="s">
        <v>3073</v>
      </c>
      <c r="F740" s="61" t="s">
        <v>11112</v>
      </c>
      <c r="G740" s="5"/>
      <c r="H740" s="5"/>
      <c r="I740" s="5"/>
      <c r="J740" s="5"/>
    </row>
    <row r="741" spans="1:10" ht="14.1" customHeight="1" thickBot="1" x14ac:dyDescent="0.25">
      <c r="A741" s="83"/>
      <c r="B741" s="62" t="s">
        <v>1786</v>
      </c>
      <c r="C741" s="60">
        <f>IF(C740="","",IF(AND(MONTH(C740)&gt;=1,MONTH(C740)&lt;=3),1,IF(AND(MONTH(C740)&gt;=4,MONTH(C740)&lt;=6),2,IF(AND(MONTH(C740)&gt;=7,MONTH(C740)&lt;=9),3,4))))</f>
        <v>3</v>
      </c>
      <c r="D741" s="83"/>
      <c r="E741" s="62" t="s">
        <v>13192</v>
      </c>
      <c r="F741" s="61" t="s">
        <v>11112</v>
      </c>
      <c r="G741" s="5"/>
      <c r="H741" s="5"/>
      <c r="I741" s="5"/>
      <c r="J741" s="5"/>
    </row>
    <row r="742" spans="1:10" ht="14.1" customHeight="1" thickBot="1" x14ac:dyDescent="0.25">
      <c r="A742" s="5"/>
      <c r="B742" s="5"/>
      <c r="C742" s="5"/>
      <c r="D742" s="5"/>
      <c r="E742" s="5"/>
      <c r="F742" s="5"/>
      <c r="G742" s="5"/>
      <c r="H742" s="5"/>
      <c r="I742" s="5"/>
      <c r="J742" s="5"/>
    </row>
    <row r="743" spans="1:10" ht="14.1" customHeight="1" thickBot="1" x14ac:dyDescent="0.25">
      <c r="A743" s="67" t="s">
        <v>15735</v>
      </c>
      <c r="B743" s="67" t="s">
        <v>16146</v>
      </c>
      <c r="C743" s="67" t="s">
        <v>15641</v>
      </c>
      <c r="D743" s="67" t="s">
        <v>15251</v>
      </c>
      <c r="E743" s="67" t="s">
        <v>6932</v>
      </c>
      <c r="F743" s="67" t="s">
        <v>15280</v>
      </c>
      <c r="G743" s="5"/>
      <c r="H743" s="5"/>
      <c r="I743" s="5"/>
      <c r="J743" s="5"/>
    </row>
    <row r="744" spans="1:10" ht="13.5" customHeight="1" x14ac:dyDescent="0.2">
      <c r="A744" s="78">
        <v>49161506</v>
      </c>
      <c r="B744" s="64" t="str">
        <f t="shared" ref="B744:B749" ca="1" si="36">IFERROR(INDEX(UNSPSCDes,MATCH(INDIRECT(ADDRESS(ROW(),COLUMN()-1,4)),UNSPSCCode,0)),"")</f>
        <v>Bates de beisbol</v>
      </c>
      <c r="C744" s="63" t="s">
        <v>1449</v>
      </c>
      <c r="D744" s="63">
        <v>7</v>
      </c>
      <c r="E744" s="66">
        <v>3000</v>
      </c>
      <c r="F744" s="65">
        <f t="shared" ref="F744:F749" ca="1" si="37">INDIRECT(ADDRESS(ROW(),COLUMN()-2,4))*INDIRECT(ADDRESS(ROW(),COLUMN()-1,4))</f>
        <v>21000</v>
      </c>
      <c r="G744" s="5"/>
      <c r="H744" s="5"/>
      <c r="I744" s="5"/>
      <c r="J744" s="5"/>
    </row>
    <row r="745" spans="1:10" ht="13.5" customHeight="1" x14ac:dyDescent="0.2">
      <c r="A745" s="78">
        <v>49161603</v>
      </c>
      <c r="B745" s="64" t="str">
        <f t="shared" ca="1" si="36"/>
        <v>Pelotas de básquetbol</v>
      </c>
      <c r="C745" s="63" t="s">
        <v>1449</v>
      </c>
      <c r="D745" s="63">
        <v>6</v>
      </c>
      <c r="E745" s="66">
        <v>1000</v>
      </c>
      <c r="F745" s="65">
        <f t="shared" ca="1" si="37"/>
        <v>6000</v>
      </c>
      <c r="G745" s="5"/>
      <c r="H745" s="5"/>
      <c r="I745" s="5"/>
      <c r="J745" s="5"/>
    </row>
    <row r="746" spans="1:10" ht="13.5" customHeight="1" x14ac:dyDescent="0.2">
      <c r="A746" s="78">
        <v>49161608</v>
      </c>
      <c r="B746" s="64" t="str">
        <f t="shared" ca="1" si="36"/>
        <v>Balones de voleibol</v>
      </c>
      <c r="C746" s="63" t="s">
        <v>1449</v>
      </c>
      <c r="D746" s="63">
        <v>7</v>
      </c>
      <c r="E746" s="66">
        <v>1000</v>
      </c>
      <c r="F746" s="65">
        <f t="shared" ca="1" si="37"/>
        <v>7000</v>
      </c>
      <c r="G746" s="5"/>
      <c r="H746" s="5"/>
      <c r="I746" s="5"/>
      <c r="J746" s="5"/>
    </row>
    <row r="747" spans="1:10" ht="13.5" customHeight="1" x14ac:dyDescent="0.2">
      <c r="A747" s="78">
        <v>49161502</v>
      </c>
      <c r="B747" s="64" t="str">
        <f t="shared" ca="1" si="36"/>
        <v>Guantes de beisbol</v>
      </c>
      <c r="C747" s="63" t="s">
        <v>1449</v>
      </c>
      <c r="D747" s="63">
        <v>7</v>
      </c>
      <c r="E747" s="66">
        <v>2000</v>
      </c>
      <c r="F747" s="65">
        <f t="shared" ca="1" si="37"/>
        <v>14000</v>
      </c>
      <c r="G747" s="5"/>
      <c r="H747" s="5"/>
      <c r="I747" s="5"/>
      <c r="J747" s="5"/>
    </row>
    <row r="748" spans="1:10" ht="13.5" customHeight="1" x14ac:dyDescent="0.2">
      <c r="A748" s="78">
        <v>49161503</v>
      </c>
      <c r="B748" s="64" t="str">
        <f t="shared" ca="1" si="36"/>
        <v>Pelotas de beisbol</v>
      </c>
      <c r="C748" s="63" t="s">
        <v>16988</v>
      </c>
      <c r="D748" s="63">
        <v>6</v>
      </c>
      <c r="E748" s="66">
        <v>1000</v>
      </c>
      <c r="F748" s="65">
        <f t="shared" ca="1" si="37"/>
        <v>6000</v>
      </c>
      <c r="G748" s="5"/>
      <c r="H748" s="5"/>
      <c r="I748" s="5"/>
      <c r="J748" s="5"/>
    </row>
    <row r="749" spans="1:10" ht="13.5" customHeight="1" x14ac:dyDescent="0.2">
      <c r="A749" s="78">
        <v>49161509</v>
      </c>
      <c r="B749" s="64" t="str">
        <f t="shared" ca="1" si="36"/>
        <v>Balones de softbol</v>
      </c>
      <c r="C749" s="63" t="s">
        <v>16988</v>
      </c>
      <c r="D749" s="63">
        <v>6</v>
      </c>
      <c r="E749" s="66">
        <v>1000</v>
      </c>
      <c r="F749" s="65">
        <f t="shared" ca="1" si="37"/>
        <v>6000</v>
      </c>
      <c r="G749" s="5"/>
      <c r="H749" s="5"/>
      <c r="I749" s="5"/>
      <c r="J749" s="5"/>
    </row>
    <row r="750" spans="1:10" ht="14.1" customHeight="1" x14ac:dyDescent="0.2">
      <c r="A750" s="5"/>
      <c r="B750" s="5"/>
      <c r="C750" s="5"/>
      <c r="D750" s="5"/>
      <c r="E750" s="68" t="s">
        <v>12550</v>
      </c>
      <c r="F750" s="69">
        <f ca="1">SUM(Table341[MONTO TOTAL ESTIMADO])</f>
        <v>60000</v>
      </c>
      <c r="G750" s="5"/>
      <c r="H750" s="5" t="str">
        <f>C737</f>
        <v>Bienes</v>
      </c>
      <c r="I750" s="5" t="str">
        <f>E737</f>
        <v>No</v>
      </c>
      <c r="J750" s="5" t="str">
        <f>D737</f>
        <v>Compras por debajo del Umbral</v>
      </c>
    </row>
    <row r="751" spans="1:10" ht="14.1" customHeight="1" thickBot="1" x14ac:dyDescent="0.3"/>
    <row r="752" spans="1:10" ht="33.75" customHeight="1" thickBot="1" x14ac:dyDescent="0.25">
      <c r="A752" s="59" t="s">
        <v>16382</v>
      </c>
      <c r="B752" s="59" t="s">
        <v>161</v>
      </c>
      <c r="C752" s="59" t="s">
        <v>11724</v>
      </c>
      <c r="D752" s="59" t="s">
        <v>14378</v>
      </c>
      <c r="E752" s="59" t="s">
        <v>10962</v>
      </c>
      <c r="F752" s="59" t="s">
        <v>11095</v>
      </c>
      <c r="G752" s="5"/>
      <c r="H752" s="5"/>
      <c r="I752" s="5"/>
      <c r="J752" s="5"/>
    </row>
    <row r="753" spans="1:10" ht="13.5" customHeight="1" thickBot="1" x14ac:dyDescent="0.25">
      <c r="A753" s="77" t="s">
        <v>18851</v>
      </c>
      <c r="B753" s="77" t="s">
        <v>18852</v>
      </c>
      <c r="C753" s="61" t="s">
        <v>17797</v>
      </c>
      <c r="D753" s="61" t="s">
        <v>10171</v>
      </c>
      <c r="E753" s="61" t="s">
        <v>17853</v>
      </c>
      <c r="F753" s="61"/>
      <c r="G753" s="5"/>
      <c r="H753" s="5"/>
      <c r="I753" s="5"/>
      <c r="J753" s="5"/>
    </row>
    <row r="754" spans="1:10" ht="14.1" customHeight="1" thickBot="1" x14ac:dyDescent="0.25">
      <c r="A754" s="82" t="s">
        <v>14828</v>
      </c>
      <c r="B754" s="62" t="s">
        <v>8528</v>
      </c>
      <c r="C754" s="71">
        <v>44105</v>
      </c>
      <c r="D754" s="82" t="s">
        <v>9385</v>
      </c>
      <c r="E754" s="62" t="s">
        <v>13093</v>
      </c>
      <c r="F754" s="61" t="s">
        <v>3080</v>
      </c>
      <c r="G754" s="5"/>
      <c r="H754" s="5"/>
      <c r="I754" s="5"/>
      <c r="J754" s="5"/>
    </row>
    <row r="755" spans="1:10" ht="14.1" customHeight="1" thickBot="1" x14ac:dyDescent="0.25">
      <c r="A755" s="83"/>
      <c r="B755" s="62" t="s">
        <v>1786</v>
      </c>
      <c r="C755" s="60">
        <f>IF(C754="","",IF(AND(MONTH(C754)&gt;=1,MONTH(C754)&lt;=3),1,IF(AND(MONTH(C754)&gt;=4,MONTH(C754)&lt;=6),2,IF(AND(MONTH(C754)&gt;=7,MONTH(C754)&lt;=9),3,4))))</f>
        <v>4</v>
      </c>
      <c r="D755" s="83"/>
      <c r="E755" s="62" t="s">
        <v>2417</v>
      </c>
      <c r="F755" s="61" t="s">
        <v>11112</v>
      </c>
      <c r="G755" s="5"/>
      <c r="H755" s="5"/>
      <c r="I755" s="5"/>
      <c r="J755" s="5"/>
    </row>
    <row r="756" spans="1:10" ht="14.1" customHeight="1" thickBot="1" x14ac:dyDescent="0.25">
      <c r="A756" s="83"/>
      <c r="B756" s="62" t="s">
        <v>12942</v>
      </c>
      <c r="C756" s="71">
        <v>44196</v>
      </c>
      <c r="D756" s="83"/>
      <c r="E756" s="62" t="s">
        <v>3073</v>
      </c>
      <c r="F756" s="61" t="s">
        <v>11112</v>
      </c>
      <c r="G756" s="5"/>
      <c r="H756" s="5"/>
      <c r="I756" s="5"/>
      <c r="J756" s="5"/>
    </row>
    <row r="757" spans="1:10" ht="14.1" customHeight="1" thickBot="1" x14ac:dyDescent="0.25">
      <c r="A757" s="83"/>
      <c r="B757" s="62" t="s">
        <v>1786</v>
      </c>
      <c r="C757" s="60">
        <f>IF(C756="","",IF(AND(MONTH(C756)&gt;=1,MONTH(C756)&lt;=3),1,IF(AND(MONTH(C756)&gt;=4,MONTH(C756)&lt;=6),2,IF(AND(MONTH(C756)&gt;=7,MONTH(C756)&lt;=9),3,4))))</f>
        <v>4</v>
      </c>
      <c r="D757" s="83"/>
      <c r="E757" s="62" t="s">
        <v>13192</v>
      </c>
      <c r="F757" s="61" t="s">
        <v>11112</v>
      </c>
      <c r="G757" s="5"/>
      <c r="H757" s="5"/>
      <c r="I757" s="5"/>
      <c r="J757" s="5"/>
    </row>
    <row r="758" spans="1:10" ht="14.1" customHeight="1" thickBot="1" x14ac:dyDescent="0.25">
      <c r="A758" s="5"/>
      <c r="B758" s="5"/>
      <c r="C758" s="5"/>
      <c r="D758" s="5"/>
      <c r="E758" s="5"/>
      <c r="F758" s="5"/>
      <c r="G758" s="5"/>
      <c r="H758" s="5"/>
      <c r="I758" s="5"/>
      <c r="J758" s="5"/>
    </row>
    <row r="759" spans="1:10" ht="14.1" customHeight="1" thickBot="1" x14ac:dyDescent="0.25">
      <c r="A759" s="67" t="s">
        <v>15735</v>
      </c>
      <c r="B759" s="67" t="s">
        <v>16146</v>
      </c>
      <c r="C759" s="67" t="s">
        <v>15641</v>
      </c>
      <c r="D759" s="67" t="s">
        <v>15251</v>
      </c>
      <c r="E759" s="67" t="s">
        <v>6932</v>
      </c>
      <c r="F759" s="67" t="s">
        <v>15280</v>
      </c>
      <c r="G759" s="5"/>
      <c r="H759" s="5"/>
      <c r="I759" s="5"/>
      <c r="J759" s="5"/>
    </row>
    <row r="760" spans="1:10" ht="13.5" customHeight="1" x14ac:dyDescent="0.2">
      <c r="A760" s="78">
        <v>49161520</v>
      </c>
      <c r="B760" s="64" t="str">
        <f t="shared" ref="B760:B765" ca="1" si="38">IFERROR(INDEX(UNSPSCDes,MATCH(INDIRECT(ADDRESS(ROW(),COLUMN()-1,4)),UNSPSCCode,0)),"")</f>
        <v>Bates de softbol</v>
      </c>
      <c r="C760" s="63" t="s">
        <v>1449</v>
      </c>
      <c r="D760" s="63">
        <v>6</v>
      </c>
      <c r="E760" s="66">
        <v>3000</v>
      </c>
      <c r="F760" s="65">
        <f t="shared" ref="F760:F765" ca="1" si="39">INDIRECT(ADDRESS(ROW(),COLUMN()-2,4))*INDIRECT(ADDRESS(ROW(),COLUMN()-1,4))</f>
        <v>18000</v>
      </c>
      <c r="G760" s="5"/>
      <c r="H760" s="5"/>
      <c r="I760" s="5"/>
      <c r="J760" s="5"/>
    </row>
    <row r="761" spans="1:10" ht="13.5" customHeight="1" x14ac:dyDescent="0.2">
      <c r="A761" s="78">
        <v>49161603</v>
      </c>
      <c r="B761" s="64" t="str">
        <f t="shared" ca="1" si="38"/>
        <v>Pelotas de básquetbol</v>
      </c>
      <c r="C761" s="63" t="s">
        <v>1449</v>
      </c>
      <c r="D761" s="63">
        <v>7</v>
      </c>
      <c r="E761" s="66">
        <v>1000</v>
      </c>
      <c r="F761" s="65">
        <f t="shared" ca="1" si="39"/>
        <v>7000</v>
      </c>
      <c r="G761" s="5"/>
      <c r="H761" s="5"/>
      <c r="I761" s="5"/>
      <c r="J761" s="5"/>
    </row>
    <row r="762" spans="1:10" ht="13.5" customHeight="1" x14ac:dyDescent="0.2">
      <c r="A762" s="78">
        <v>49161509</v>
      </c>
      <c r="B762" s="64" t="str">
        <f t="shared" ca="1" si="38"/>
        <v>Balones de softbol</v>
      </c>
      <c r="C762" s="63" t="s">
        <v>16988</v>
      </c>
      <c r="D762" s="63">
        <v>7</v>
      </c>
      <c r="E762" s="66">
        <v>1000</v>
      </c>
      <c r="F762" s="65">
        <f t="shared" ca="1" si="39"/>
        <v>7000</v>
      </c>
      <c r="G762" s="5"/>
      <c r="H762" s="5"/>
      <c r="I762" s="5"/>
      <c r="J762" s="5"/>
    </row>
    <row r="763" spans="1:10" ht="13.5" customHeight="1" x14ac:dyDescent="0.2">
      <c r="A763" s="78">
        <v>49161608</v>
      </c>
      <c r="B763" s="64" t="str">
        <f t="shared" ca="1" si="38"/>
        <v>Balones de voleibol</v>
      </c>
      <c r="C763" s="63" t="s">
        <v>1449</v>
      </c>
      <c r="D763" s="63">
        <v>6</v>
      </c>
      <c r="E763" s="66">
        <v>1000</v>
      </c>
      <c r="F763" s="65">
        <f t="shared" ca="1" si="39"/>
        <v>6000</v>
      </c>
      <c r="G763" s="5"/>
      <c r="H763" s="5"/>
      <c r="I763" s="5"/>
      <c r="J763" s="5"/>
    </row>
    <row r="764" spans="1:10" ht="13.5" customHeight="1" x14ac:dyDescent="0.2">
      <c r="A764" s="78">
        <v>49221505</v>
      </c>
      <c r="B764" s="64" t="str">
        <f t="shared" ca="1" si="38"/>
        <v>Mallas o redes para deportes</v>
      </c>
      <c r="C764" s="63" t="s">
        <v>1449</v>
      </c>
      <c r="D764" s="63">
        <v>8</v>
      </c>
      <c r="E764" s="66">
        <v>2000</v>
      </c>
      <c r="F764" s="65">
        <f t="shared" ca="1" si="39"/>
        <v>16000</v>
      </c>
      <c r="G764" s="5"/>
      <c r="H764" s="5"/>
      <c r="I764" s="5"/>
      <c r="J764" s="5"/>
    </row>
    <row r="765" spans="1:10" ht="13.5" customHeight="1" x14ac:dyDescent="0.2">
      <c r="A765" s="78">
        <v>49161503</v>
      </c>
      <c r="B765" s="64" t="str">
        <f t="shared" ca="1" si="38"/>
        <v>Pelotas de beisbol</v>
      </c>
      <c r="C765" s="63" t="s">
        <v>16988</v>
      </c>
      <c r="D765" s="63">
        <v>6</v>
      </c>
      <c r="E765" s="66">
        <v>1000</v>
      </c>
      <c r="F765" s="65">
        <f t="shared" ca="1" si="39"/>
        <v>6000</v>
      </c>
      <c r="G765" s="5"/>
      <c r="H765" s="5"/>
      <c r="I765" s="5"/>
      <c r="J765" s="5"/>
    </row>
    <row r="766" spans="1:10" ht="14.1" customHeight="1" x14ac:dyDescent="0.2">
      <c r="A766" s="5"/>
      <c r="B766" s="5"/>
      <c r="C766" s="5"/>
      <c r="D766" s="5"/>
      <c r="E766" s="68" t="s">
        <v>12550</v>
      </c>
      <c r="F766" s="69">
        <f ca="1">SUM(Table342[MONTO TOTAL ESTIMADO])</f>
        <v>60000</v>
      </c>
      <c r="G766" s="5"/>
      <c r="H766" s="5" t="str">
        <f>C753</f>
        <v>Bienes</v>
      </c>
      <c r="I766" s="5" t="str">
        <f>E753</f>
        <v>No</v>
      </c>
      <c r="J766" s="5" t="str">
        <f>D753</f>
        <v>Compras por debajo del Umbral</v>
      </c>
    </row>
    <row r="767" spans="1:10" ht="14.1" customHeight="1" thickBot="1" x14ac:dyDescent="0.3"/>
    <row r="768" spans="1:10" ht="33.75" customHeight="1" thickBot="1" x14ac:dyDescent="0.25">
      <c r="A768" s="59" t="s">
        <v>16382</v>
      </c>
      <c r="B768" s="59" t="s">
        <v>161</v>
      </c>
      <c r="C768" s="59" t="s">
        <v>11724</v>
      </c>
      <c r="D768" s="59" t="s">
        <v>14378</v>
      </c>
      <c r="E768" s="59" t="s">
        <v>10962</v>
      </c>
      <c r="F768" s="59" t="s">
        <v>11095</v>
      </c>
      <c r="G768" s="5"/>
      <c r="H768" s="5"/>
      <c r="I768" s="5"/>
      <c r="J768" s="5"/>
    </row>
    <row r="769" spans="1:10" ht="13.5" customHeight="1" thickBot="1" x14ac:dyDescent="0.25">
      <c r="A769" s="77" t="s">
        <v>18854</v>
      </c>
      <c r="B769" s="77" t="s">
        <v>18855</v>
      </c>
      <c r="C769" s="61" t="s">
        <v>17797</v>
      </c>
      <c r="D769" s="61" t="s">
        <v>10171</v>
      </c>
      <c r="E769" s="61" t="s">
        <v>8854</v>
      </c>
      <c r="F769" s="61"/>
      <c r="G769" s="5"/>
      <c r="H769" s="5"/>
      <c r="I769" s="5"/>
      <c r="J769" s="5"/>
    </row>
    <row r="770" spans="1:10" ht="14.1" customHeight="1" thickBot="1" x14ac:dyDescent="0.25">
      <c r="A770" s="82" t="s">
        <v>14828</v>
      </c>
      <c r="B770" s="62" t="s">
        <v>8528</v>
      </c>
      <c r="C770" s="71">
        <v>43831</v>
      </c>
      <c r="D770" s="82" t="s">
        <v>9385</v>
      </c>
      <c r="E770" s="62" t="s">
        <v>13093</v>
      </c>
      <c r="F770" s="61" t="s">
        <v>3080</v>
      </c>
      <c r="G770" s="5"/>
      <c r="H770" s="5"/>
      <c r="I770" s="5"/>
      <c r="J770" s="5"/>
    </row>
    <row r="771" spans="1:10" ht="14.1" customHeight="1" thickBot="1" x14ac:dyDescent="0.25">
      <c r="A771" s="83"/>
      <c r="B771" s="62" t="s">
        <v>1786</v>
      </c>
      <c r="C771" s="60">
        <f>IF(C770="","",IF(AND(MONTH(C770)&gt;=1,MONTH(C770)&lt;=3),1,IF(AND(MONTH(C770)&gt;=4,MONTH(C770)&lt;=6),2,IF(AND(MONTH(C770)&gt;=7,MONTH(C770)&lt;=9),3,4))))</f>
        <v>1</v>
      </c>
      <c r="D771" s="83"/>
      <c r="E771" s="62" t="s">
        <v>2417</v>
      </c>
      <c r="F771" s="61" t="s">
        <v>11112</v>
      </c>
      <c r="G771" s="5"/>
      <c r="H771" s="5"/>
      <c r="I771" s="5"/>
      <c r="J771" s="5"/>
    </row>
    <row r="772" spans="1:10" ht="14.1" customHeight="1" thickBot="1" x14ac:dyDescent="0.25">
      <c r="A772" s="83"/>
      <c r="B772" s="62" t="s">
        <v>12942</v>
      </c>
      <c r="C772" s="71">
        <v>43921</v>
      </c>
      <c r="D772" s="83"/>
      <c r="E772" s="62" t="s">
        <v>3073</v>
      </c>
      <c r="F772" s="61" t="s">
        <v>11112</v>
      </c>
      <c r="G772" s="5"/>
      <c r="H772" s="5"/>
      <c r="I772" s="5"/>
      <c r="J772" s="5"/>
    </row>
    <row r="773" spans="1:10" ht="14.1" customHeight="1" thickBot="1" x14ac:dyDescent="0.25">
      <c r="A773" s="83"/>
      <c r="B773" s="62" t="s">
        <v>1786</v>
      </c>
      <c r="C773" s="60">
        <f>IF(C772="","",IF(AND(MONTH(C772)&gt;=1,MONTH(C772)&lt;=3),1,IF(AND(MONTH(C772)&gt;=4,MONTH(C772)&lt;=6),2,IF(AND(MONTH(C772)&gt;=7,MONTH(C772)&lt;=9),3,4))))</f>
        <v>1</v>
      </c>
      <c r="D773" s="83"/>
      <c r="E773" s="62" t="s">
        <v>13192</v>
      </c>
      <c r="F773" s="61" t="s">
        <v>11112</v>
      </c>
      <c r="G773" s="5"/>
      <c r="H773" s="5"/>
      <c r="I773" s="5"/>
      <c r="J773" s="5"/>
    </row>
    <row r="774" spans="1:10" ht="14.1" customHeight="1" thickBot="1" x14ac:dyDescent="0.25">
      <c r="A774" s="5"/>
      <c r="B774" s="5"/>
      <c r="C774" s="5"/>
      <c r="D774" s="5"/>
      <c r="E774" s="5"/>
      <c r="F774" s="5"/>
      <c r="G774" s="5"/>
      <c r="H774" s="5"/>
      <c r="I774" s="5"/>
      <c r="J774" s="5"/>
    </row>
    <row r="775" spans="1:10" ht="14.1" customHeight="1" thickBot="1" x14ac:dyDescent="0.25">
      <c r="A775" s="67" t="s">
        <v>15735</v>
      </c>
      <c r="B775" s="67" t="s">
        <v>16146</v>
      </c>
      <c r="C775" s="67" t="s">
        <v>15641</v>
      </c>
      <c r="D775" s="67" t="s">
        <v>15251</v>
      </c>
      <c r="E775" s="67" t="s">
        <v>6932</v>
      </c>
      <c r="F775" s="67" t="s">
        <v>15280</v>
      </c>
      <c r="G775" s="5"/>
      <c r="H775" s="5"/>
      <c r="I775" s="5"/>
      <c r="J775" s="5"/>
    </row>
    <row r="776" spans="1:10" ht="13.5" customHeight="1" x14ac:dyDescent="0.2">
      <c r="A776" s="78">
        <v>52151504</v>
      </c>
      <c r="B776" s="64" t="str">
        <f t="shared" ref="B776:B787" ca="1" si="40">IFERROR(INDEX(UNSPSCDes,MATCH(INDIRECT(ADDRESS(ROW(),COLUMN()-1,4)),UNSPSCCode,0)),"")</f>
        <v>Tazas o vasos o tapas desechables para uso doméstico</v>
      </c>
      <c r="C776" s="63" t="s">
        <v>4735</v>
      </c>
      <c r="D776" s="63">
        <v>37</v>
      </c>
      <c r="E776" s="66">
        <v>250</v>
      </c>
      <c r="F776" s="65">
        <f t="shared" ref="F776:F787" ca="1" si="41">INDIRECT(ADDRESS(ROW(),COLUMN()-2,4))*INDIRECT(ADDRESS(ROW(),COLUMN()-1,4))</f>
        <v>9250</v>
      </c>
      <c r="G776" s="5"/>
      <c r="H776" s="5"/>
      <c r="I776" s="5"/>
      <c r="J776" s="5"/>
    </row>
    <row r="777" spans="1:10" ht="13.5" customHeight="1" x14ac:dyDescent="0.2">
      <c r="A777" s="78">
        <v>52151502</v>
      </c>
      <c r="B777" s="64" t="str">
        <f t="shared" ca="1" si="40"/>
        <v>Platos desechables para uso doméstico</v>
      </c>
      <c r="C777" s="63" t="s">
        <v>4735</v>
      </c>
      <c r="D777" s="63">
        <v>35</v>
      </c>
      <c r="E777" s="66">
        <v>200</v>
      </c>
      <c r="F777" s="65">
        <f t="shared" ca="1" si="41"/>
        <v>7000</v>
      </c>
      <c r="G777" s="5"/>
      <c r="H777" s="5"/>
      <c r="I777" s="5"/>
      <c r="J777" s="5"/>
    </row>
    <row r="778" spans="1:10" ht="13.5" customHeight="1" x14ac:dyDescent="0.2">
      <c r="A778" s="78">
        <v>52151616</v>
      </c>
      <c r="B778" s="64" t="str">
        <f t="shared" ca="1" si="40"/>
        <v>Espátulas de cocina para uso doméstico</v>
      </c>
      <c r="C778" s="63" t="s">
        <v>1449</v>
      </c>
      <c r="D778" s="63">
        <v>2</v>
      </c>
      <c r="E778" s="66">
        <v>100</v>
      </c>
      <c r="F778" s="65">
        <f t="shared" ca="1" si="41"/>
        <v>200</v>
      </c>
      <c r="G778" s="5"/>
      <c r="H778" s="5"/>
      <c r="I778" s="5"/>
      <c r="J778" s="5"/>
    </row>
    <row r="779" spans="1:10" ht="13.5" customHeight="1" x14ac:dyDescent="0.2">
      <c r="A779" s="78">
        <v>52152104</v>
      </c>
      <c r="B779" s="64" t="str">
        <f t="shared" ca="1" si="40"/>
        <v>Copas para uso doméstico</v>
      </c>
      <c r="C779" s="63" t="s">
        <v>1449</v>
      </c>
      <c r="D779" s="63">
        <v>5</v>
      </c>
      <c r="E779" s="66">
        <v>160</v>
      </c>
      <c r="F779" s="65">
        <f t="shared" ca="1" si="41"/>
        <v>800</v>
      </c>
      <c r="G779" s="5"/>
      <c r="H779" s="5"/>
      <c r="I779" s="5"/>
      <c r="J779" s="5"/>
    </row>
    <row r="780" spans="1:10" ht="13.5" customHeight="1" x14ac:dyDescent="0.2">
      <c r="A780" s="78">
        <v>52152102</v>
      </c>
      <c r="B780" s="64" t="str">
        <f t="shared" ca="1" si="40"/>
        <v>Vasos para beber para uso doméstico</v>
      </c>
      <c r="C780" s="63" t="s">
        <v>1449</v>
      </c>
      <c r="D780" s="63">
        <v>8</v>
      </c>
      <c r="E780" s="66">
        <v>100</v>
      </c>
      <c r="F780" s="65">
        <f t="shared" ca="1" si="41"/>
        <v>800</v>
      </c>
      <c r="G780" s="5"/>
      <c r="H780" s="5"/>
      <c r="I780" s="5"/>
      <c r="J780" s="5"/>
    </row>
    <row r="781" spans="1:10" ht="13.5" customHeight="1" x14ac:dyDescent="0.2">
      <c r="A781" s="78">
        <v>52152006</v>
      </c>
      <c r="B781" s="64" t="str">
        <f t="shared" ca="1" si="40"/>
        <v>Bandejas o fuentes para uso doméstico</v>
      </c>
      <c r="C781" s="63" t="s">
        <v>1449</v>
      </c>
      <c r="D781" s="63">
        <v>1</v>
      </c>
      <c r="E781" s="66">
        <v>500</v>
      </c>
      <c r="F781" s="65">
        <f t="shared" ca="1" si="41"/>
        <v>500</v>
      </c>
      <c r="G781" s="5"/>
      <c r="H781" s="5"/>
      <c r="I781" s="5"/>
      <c r="J781" s="5"/>
    </row>
    <row r="782" spans="1:10" ht="13.5" customHeight="1" x14ac:dyDescent="0.2">
      <c r="A782" s="78">
        <v>52151709</v>
      </c>
      <c r="B782" s="64" t="str">
        <f t="shared" ca="1" si="40"/>
        <v>Set de cubiertos</v>
      </c>
      <c r="C782" s="63" t="s">
        <v>4735</v>
      </c>
      <c r="D782" s="63">
        <v>1</v>
      </c>
      <c r="E782" s="66">
        <v>1500</v>
      </c>
      <c r="F782" s="65">
        <f t="shared" ca="1" si="41"/>
        <v>1500</v>
      </c>
      <c r="G782" s="5"/>
      <c r="H782" s="5"/>
      <c r="I782" s="5"/>
      <c r="J782" s="5"/>
    </row>
    <row r="783" spans="1:10" ht="13.5" customHeight="1" x14ac:dyDescent="0.2">
      <c r="A783" s="78">
        <v>52152004</v>
      </c>
      <c r="B783" s="64" t="str">
        <f t="shared" ca="1" si="40"/>
        <v>Platos para uso doméstico</v>
      </c>
      <c r="C783" s="63" t="s">
        <v>1449</v>
      </c>
      <c r="D783" s="63">
        <v>3</v>
      </c>
      <c r="E783" s="66">
        <v>300</v>
      </c>
      <c r="F783" s="65">
        <f t="shared" ca="1" si="41"/>
        <v>900</v>
      </c>
      <c r="G783" s="5"/>
      <c r="H783" s="5"/>
      <c r="I783" s="5"/>
      <c r="J783" s="5"/>
    </row>
    <row r="784" spans="1:10" ht="13.5" customHeight="1" x14ac:dyDescent="0.2">
      <c r="A784" s="78">
        <v>52151704</v>
      </c>
      <c r="B784" s="64" t="str">
        <f t="shared" ca="1" si="40"/>
        <v>Cucharas para uso doméstico</v>
      </c>
      <c r="C784" s="63" t="s">
        <v>1449</v>
      </c>
      <c r="D784" s="63">
        <v>24</v>
      </c>
      <c r="E784" s="66">
        <v>25</v>
      </c>
      <c r="F784" s="65">
        <f t="shared" ca="1" si="41"/>
        <v>600</v>
      </c>
      <c r="G784" s="5"/>
      <c r="H784" s="5"/>
      <c r="I784" s="5"/>
      <c r="J784" s="5"/>
    </row>
    <row r="785" spans="1:10" ht="13.5" customHeight="1" x14ac:dyDescent="0.2">
      <c r="A785" s="78">
        <v>52151703</v>
      </c>
      <c r="B785" s="64" t="str">
        <f t="shared" ca="1" si="40"/>
        <v>Tenedores para uso doméstico</v>
      </c>
      <c r="C785" s="63" t="s">
        <v>1449</v>
      </c>
      <c r="D785" s="63">
        <v>24</v>
      </c>
      <c r="E785" s="66">
        <v>25</v>
      </c>
      <c r="F785" s="65">
        <f t="shared" ca="1" si="41"/>
        <v>600</v>
      </c>
      <c r="G785" s="5"/>
      <c r="H785" s="5"/>
      <c r="I785" s="5"/>
      <c r="J785" s="5"/>
    </row>
    <row r="786" spans="1:10" ht="13.5" customHeight="1" x14ac:dyDescent="0.2">
      <c r="A786" s="78">
        <v>52151702</v>
      </c>
      <c r="B786" s="64" t="str">
        <f t="shared" ca="1" si="40"/>
        <v>Cuchillos para uso doméstico</v>
      </c>
      <c r="C786" s="63" t="s">
        <v>1449</v>
      </c>
      <c r="D786" s="63">
        <v>24</v>
      </c>
      <c r="E786" s="66">
        <v>25</v>
      </c>
      <c r="F786" s="65">
        <f t="shared" ca="1" si="41"/>
        <v>600</v>
      </c>
      <c r="G786" s="5"/>
      <c r="H786" s="5"/>
      <c r="I786" s="5"/>
      <c r="J786" s="5"/>
    </row>
    <row r="787" spans="1:10" ht="13.5" customHeight="1" x14ac:dyDescent="0.2">
      <c r="A787" s="78">
        <v>52152101</v>
      </c>
      <c r="B787" s="64" t="str">
        <f t="shared" ca="1" si="40"/>
        <v>Tazas de café o té para uso doméstico</v>
      </c>
      <c r="C787" s="63" t="s">
        <v>1449</v>
      </c>
      <c r="D787" s="63">
        <v>5</v>
      </c>
      <c r="E787" s="66">
        <v>200</v>
      </c>
      <c r="F787" s="65">
        <f t="shared" ca="1" si="41"/>
        <v>1000</v>
      </c>
      <c r="G787" s="5"/>
      <c r="H787" s="5"/>
      <c r="I787" s="5"/>
      <c r="J787" s="5"/>
    </row>
    <row r="788" spans="1:10" ht="14.1" customHeight="1" x14ac:dyDescent="0.2">
      <c r="A788" s="5"/>
      <c r="B788" s="5"/>
      <c r="C788" s="5"/>
      <c r="D788" s="5"/>
      <c r="E788" s="68" t="s">
        <v>12550</v>
      </c>
      <c r="F788" s="69">
        <f ca="1">SUM(Table343[MONTO TOTAL ESTIMADO])</f>
        <v>23750</v>
      </c>
      <c r="G788" s="5"/>
      <c r="H788" s="5" t="str">
        <f>C769</f>
        <v>Bienes</v>
      </c>
      <c r="I788" s="5" t="str">
        <f>E769</f>
        <v>Sí</v>
      </c>
      <c r="J788" s="5" t="str">
        <f>D769</f>
        <v>Compras por debajo del Umbral</v>
      </c>
    </row>
    <row r="789" spans="1:10" ht="14.1" customHeight="1" thickBot="1" x14ac:dyDescent="0.3"/>
    <row r="790" spans="1:10" ht="33.75" customHeight="1" thickBot="1" x14ac:dyDescent="0.25">
      <c r="A790" s="59" t="s">
        <v>16382</v>
      </c>
      <c r="B790" s="59" t="s">
        <v>161</v>
      </c>
      <c r="C790" s="59" t="s">
        <v>11724</v>
      </c>
      <c r="D790" s="59" t="s">
        <v>14378</v>
      </c>
      <c r="E790" s="59" t="s">
        <v>10962</v>
      </c>
      <c r="F790" s="59" t="s">
        <v>11095</v>
      </c>
      <c r="G790" s="5"/>
      <c r="H790" s="5"/>
      <c r="I790" s="5"/>
      <c r="J790" s="5"/>
    </row>
    <row r="791" spans="1:10" ht="13.5" customHeight="1" thickBot="1" x14ac:dyDescent="0.25">
      <c r="A791" s="77" t="s">
        <v>18854</v>
      </c>
      <c r="B791" s="77" t="s">
        <v>18855</v>
      </c>
      <c r="C791" s="61" t="s">
        <v>17797</v>
      </c>
      <c r="D791" s="61" t="s">
        <v>10171</v>
      </c>
      <c r="E791" s="61" t="s">
        <v>8854</v>
      </c>
      <c r="F791" s="61"/>
      <c r="G791" s="5"/>
      <c r="H791" s="5"/>
      <c r="I791" s="5"/>
      <c r="J791" s="5"/>
    </row>
    <row r="792" spans="1:10" ht="14.1" customHeight="1" thickBot="1" x14ac:dyDescent="0.25">
      <c r="A792" s="82" t="s">
        <v>14828</v>
      </c>
      <c r="B792" s="62" t="s">
        <v>8528</v>
      </c>
      <c r="C792" s="71">
        <v>43922</v>
      </c>
      <c r="D792" s="82" t="s">
        <v>9385</v>
      </c>
      <c r="E792" s="62" t="s">
        <v>13093</v>
      </c>
      <c r="F792" s="61" t="s">
        <v>3080</v>
      </c>
      <c r="G792" s="5"/>
      <c r="H792" s="5"/>
      <c r="I792" s="5"/>
      <c r="J792" s="5"/>
    </row>
    <row r="793" spans="1:10" ht="14.1" customHeight="1" thickBot="1" x14ac:dyDescent="0.25">
      <c r="A793" s="83"/>
      <c r="B793" s="62" t="s">
        <v>1786</v>
      </c>
      <c r="C793" s="60">
        <f>IF(C792="","",IF(AND(MONTH(C792)&gt;=1,MONTH(C792)&lt;=3),1,IF(AND(MONTH(C792)&gt;=4,MONTH(C792)&lt;=6),2,IF(AND(MONTH(C792)&gt;=7,MONTH(C792)&lt;=9),3,4))))</f>
        <v>2</v>
      </c>
      <c r="D793" s="83"/>
      <c r="E793" s="62" t="s">
        <v>2417</v>
      </c>
      <c r="F793" s="61" t="s">
        <v>11112</v>
      </c>
      <c r="G793" s="5"/>
      <c r="H793" s="5"/>
      <c r="I793" s="5"/>
      <c r="J793" s="5"/>
    </row>
    <row r="794" spans="1:10" ht="14.1" customHeight="1" thickBot="1" x14ac:dyDescent="0.25">
      <c r="A794" s="83"/>
      <c r="B794" s="62" t="s">
        <v>12942</v>
      </c>
      <c r="C794" s="71">
        <v>44012</v>
      </c>
      <c r="D794" s="83"/>
      <c r="E794" s="62" t="s">
        <v>3073</v>
      </c>
      <c r="F794" s="61" t="s">
        <v>11112</v>
      </c>
      <c r="G794" s="5"/>
      <c r="H794" s="5"/>
      <c r="I794" s="5"/>
      <c r="J794" s="5"/>
    </row>
    <row r="795" spans="1:10" ht="14.1" customHeight="1" thickBot="1" x14ac:dyDescent="0.25">
      <c r="A795" s="83"/>
      <c r="B795" s="62" t="s">
        <v>1786</v>
      </c>
      <c r="C795" s="60">
        <f>IF(C794="","",IF(AND(MONTH(C794)&gt;=1,MONTH(C794)&lt;=3),1,IF(AND(MONTH(C794)&gt;=4,MONTH(C794)&lt;=6),2,IF(AND(MONTH(C794)&gt;=7,MONTH(C794)&lt;=9),3,4))))</f>
        <v>2</v>
      </c>
      <c r="D795" s="83"/>
      <c r="E795" s="62" t="s">
        <v>13192</v>
      </c>
      <c r="F795" s="61" t="s">
        <v>11112</v>
      </c>
      <c r="G795" s="5"/>
      <c r="H795" s="5"/>
      <c r="I795" s="5"/>
      <c r="J795" s="5"/>
    </row>
    <row r="796" spans="1:10" ht="14.1" customHeight="1" thickBot="1" x14ac:dyDescent="0.25">
      <c r="A796" s="5"/>
      <c r="B796" s="5"/>
      <c r="C796" s="5"/>
      <c r="D796" s="5"/>
      <c r="E796" s="5"/>
      <c r="F796" s="5"/>
      <c r="G796" s="5"/>
      <c r="H796" s="5"/>
      <c r="I796" s="5"/>
      <c r="J796" s="5"/>
    </row>
    <row r="797" spans="1:10" ht="14.1" customHeight="1" thickBot="1" x14ac:dyDescent="0.25">
      <c r="A797" s="67" t="s">
        <v>15735</v>
      </c>
      <c r="B797" s="67" t="s">
        <v>16146</v>
      </c>
      <c r="C797" s="67" t="s">
        <v>15641</v>
      </c>
      <c r="D797" s="67" t="s">
        <v>15251</v>
      </c>
      <c r="E797" s="67" t="s">
        <v>6932</v>
      </c>
      <c r="F797" s="67" t="s">
        <v>15280</v>
      </c>
      <c r="G797" s="5"/>
      <c r="H797" s="5"/>
      <c r="I797" s="5"/>
      <c r="J797" s="5"/>
    </row>
    <row r="798" spans="1:10" ht="13.5" customHeight="1" x14ac:dyDescent="0.2">
      <c r="A798" s="78">
        <v>52151504</v>
      </c>
      <c r="B798" s="64" t="str">
        <f t="shared" ref="B798:B807" ca="1" si="42">IFERROR(INDEX(UNSPSCDes,MATCH(INDIRECT(ADDRESS(ROW(),COLUMN()-1,4)),UNSPSCCode,0)),"")</f>
        <v>Tazas o vasos o tapas desechables para uso doméstico</v>
      </c>
      <c r="C798" s="63" t="s">
        <v>4735</v>
      </c>
      <c r="D798" s="63">
        <v>41</v>
      </c>
      <c r="E798" s="66">
        <v>250</v>
      </c>
      <c r="F798" s="65">
        <f t="shared" ref="F798:F807" ca="1" si="43">INDIRECT(ADDRESS(ROW(),COLUMN()-2,4))*INDIRECT(ADDRESS(ROW(),COLUMN()-1,4))</f>
        <v>10250</v>
      </c>
      <c r="G798" s="5"/>
      <c r="H798" s="5"/>
      <c r="I798" s="5"/>
      <c r="J798" s="5"/>
    </row>
    <row r="799" spans="1:10" ht="13.5" customHeight="1" x14ac:dyDescent="0.2">
      <c r="A799" s="78">
        <v>52151502</v>
      </c>
      <c r="B799" s="64" t="str">
        <f t="shared" ca="1" si="42"/>
        <v>Platos desechables para uso doméstico</v>
      </c>
      <c r="C799" s="63" t="s">
        <v>4735</v>
      </c>
      <c r="D799" s="63">
        <v>35</v>
      </c>
      <c r="E799" s="66">
        <v>200</v>
      </c>
      <c r="F799" s="65">
        <f t="shared" ca="1" si="43"/>
        <v>7000</v>
      </c>
      <c r="G799" s="5"/>
      <c r="H799" s="5"/>
      <c r="I799" s="5"/>
      <c r="J799" s="5"/>
    </row>
    <row r="800" spans="1:10" ht="13.5" customHeight="1" x14ac:dyDescent="0.2">
      <c r="A800" s="78">
        <v>52152001</v>
      </c>
      <c r="B800" s="64" t="str">
        <f t="shared" ca="1" si="42"/>
        <v>Jarras para uso doméstico</v>
      </c>
      <c r="C800" s="63" t="s">
        <v>1449</v>
      </c>
      <c r="D800" s="63">
        <v>1</v>
      </c>
      <c r="E800" s="66">
        <v>1500</v>
      </c>
      <c r="F800" s="65">
        <f t="shared" ca="1" si="43"/>
        <v>1500</v>
      </c>
      <c r="G800" s="5"/>
      <c r="H800" s="5"/>
      <c r="I800" s="5"/>
      <c r="J800" s="5"/>
    </row>
    <row r="801" spans="1:10" ht="13.5" customHeight="1" x14ac:dyDescent="0.2">
      <c r="A801" s="78">
        <v>52152104</v>
      </c>
      <c r="B801" s="64" t="str">
        <f t="shared" ca="1" si="42"/>
        <v>Copas para uso doméstico</v>
      </c>
      <c r="C801" s="63" t="s">
        <v>1449</v>
      </c>
      <c r="D801" s="63">
        <v>5</v>
      </c>
      <c r="E801" s="66">
        <v>160</v>
      </c>
      <c r="F801" s="65">
        <f t="shared" ca="1" si="43"/>
        <v>800</v>
      </c>
      <c r="G801" s="5"/>
      <c r="H801" s="5"/>
      <c r="I801" s="5"/>
      <c r="J801" s="5"/>
    </row>
    <row r="802" spans="1:10" ht="13.5" customHeight="1" x14ac:dyDescent="0.2">
      <c r="A802" s="78">
        <v>52151503</v>
      </c>
      <c r="B802" s="64" t="str">
        <f t="shared" ca="1" si="42"/>
        <v>Cubiertos desechables para uso doméstico</v>
      </c>
      <c r="C802" s="63" t="s">
        <v>4735</v>
      </c>
      <c r="D802" s="63">
        <v>8</v>
      </c>
      <c r="E802" s="66">
        <v>100</v>
      </c>
      <c r="F802" s="65">
        <f t="shared" ca="1" si="43"/>
        <v>800</v>
      </c>
      <c r="G802" s="5"/>
      <c r="H802" s="5"/>
      <c r="I802" s="5"/>
      <c r="J802" s="5"/>
    </row>
    <row r="803" spans="1:10" ht="13.5" customHeight="1" x14ac:dyDescent="0.2">
      <c r="A803" s="78">
        <v>52152006</v>
      </c>
      <c r="B803" s="64" t="str">
        <f t="shared" ca="1" si="42"/>
        <v>Bandejas o fuentes para uso doméstico</v>
      </c>
      <c r="C803" s="63" t="s">
        <v>1449</v>
      </c>
      <c r="D803" s="63">
        <v>1</v>
      </c>
      <c r="E803" s="66">
        <v>500</v>
      </c>
      <c r="F803" s="65">
        <f t="shared" ca="1" si="43"/>
        <v>500</v>
      </c>
      <c r="G803" s="5"/>
      <c r="H803" s="5"/>
      <c r="I803" s="5"/>
      <c r="J803" s="5"/>
    </row>
    <row r="804" spans="1:10" ht="13.5" customHeight="1" x14ac:dyDescent="0.2">
      <c r="A804" s="78">
        <v>52152008</v>
      </c>
      <c r="B804" s="64" t="str">
        <f t="shared" ca="1" si="42"/>
        <v>Teteras o cafeteras para uso doméstico</v>
      </c>
      <c r="C804" s="63" t="s">
        <v>1449</v>
      </c>
      <c r="D804" s="63">
        <v>1</v>
      </c>
      <c r="E804" s="66">
        <v>1100</v>
      </c>
      <c r="F804" s="65">
        <f t="shared" ca="1" si="43"/>
        <v>1100</v>
      </c>
      <c r="G804" s="5"/>
      <c r="H804" s="5"/>
      <c r="I804" s="5"/>
      <c r="J804" s="5"/>
    </row>
    <row r="805" spans="1:10" ht="13.5" customHeight="1" x14ac:dyDescent="0.2">
      <c r="A805" s="78">
        <v>52151704</v>
      </c>
      <c r="B805" s="64" t="str">
        <f t="shared" ca="1" si="42"/>
        <v>Cucharas para uso doméstico</v>
      </c>
      <c r="C805" s="63" t="s">
        <v>1449</v>
      </c>
      <c r="D805" s="63">
        <v>24</v>
      </c>
      <c r="E805" s="66">
        <v>25</v>
      </c>
      <c r="F805" s="65">
        <f t="shared" ca="1" si="43"/>
        <v>600</v>
      </c>
      <c r="G805" s="5"/>
      <c r="H805" s="5"/>
      <c r="I805" s="5"/>
      <c r="J805" s="5"/>
    </row>
    <row r="806" spans="1:10" ht="13.5" customHeight="1" x14ac:dyDescent="0.2">
      <c r="A806" s="78">
        <v>52151703</v>
      </c>
      <c r="B806" s="64" t="str">
        <f t="shared" ca="1" si="42"/>
        <v>Tenedores para uso doméstico</v>
      </c>
      <c r="C806" s="63" t="s">
        <v>1449</v>
      </c>
      <c r="D806" s="63">
        <v>24</v>
      </c>
      <c r="E806" s="66">
        <v>25</v>
      </c>
      <c r="F806" s="65">
        <f t="shared" ca="1" si="43"/>
        <v>600</v>
      </c>
      <c r="G806" s="5"/>
      <c r="H806" s="5"/>
      <c r="I806" s="5"/>
      <c r="J806" s="5"/>
    </row>
    <row r="807" spans="1:10" ht="13.5" customHeight="1" x14ac:dyDescent="0.2">
      <c r="A807" s="78">
        <v>52151702</v>
      </c>
      <c r="B807" s="64" t="str">
        <f t="shared" ca="1" si="42"/>
        <v>Cuchillos para uso doméstico</v>
      </c>
      <c r="C807" s="63" t="s">
        <v>1449</v>
      </c>
      <c r="D807" s="63">
        <v>24</v>
      </c>
      <c r="E807" s="66">
        <v>25</v>
      </c>
      <c r="F807" s="65">
        <f t="shared" ca="1" si="43"/>
        <v>600</v>
      </c>
      <c r="G807" s="5"/>
      <c r="H807" s="5"/>
      <c r="I807" s="5"/>
      <c r="J807" s="5"/>
    </row>
    <row r="808" spans="1:10" ht="14.1" customHeight="1" x14ac:dyDescent="0.2">
      <c r="A808" s="5"/>
      <c r="B808" s="5"/>
      <c r="C808" s="5"/>
      <c r="D808" s="5"/>
      <c r="E808" s="68" t="s">
        <v>12550</v>
      </c>
      <c r="F808" s="69">
        <f ca="1">SUM(Table344[MONTO TOTAL ESTIMADO])</f>
        <v>23750</v>
      </c>
      <c r="G808" s="5"/>
      <c r="H808" s="5" t="str">
        <f>C791</f>
        <v>Bienes</v>
      </c>
      <c r="I808" s="5" t="str">
        <f>E791</f>
        <v>Sí</v>
      </c>
      <c r="J808" s="5" t="str">
        <f>D791</f>
        <v>Compras por debajo del Umbral</v>
      </c>
    </row>
    <row r="809" spans="1:10" ht="14.1" customHeight="1" thickBot="1" x14ac:dyDescent="0.3"/>
    <row r="810" spans="1:10" ht="33.75" customHeight="1" thickBot="1" x14ac:dyDescent="0.25">
      <c r="A810" s="59" t="s">
        <v>16382</v>
      </c>
      <c r="B810" s="59" t="s">
        <v>161</v>
      </c>
      <c r="C810" s="59" t="s">
        <v>11724</v>
      </c>
      <c r="D810" s="59" t="s">
        <v>14378</v>
      </c>
      <c r="E810" s="59" t="s">
        <v>10962</v>
      </c>
      <c r="F810" s="59" t="s">
        <v>11095</v>
      </c>
      <c r="G810" s="5"/>
      <c r="H810" s="5"/>
      <c r="I810" s="5"/>
      <c r="J810" s="5"/>
    </row>
    <row r="811" spans="1:10" ht="13.5" customHeight="1" thickBot="1" x14ac:dyDescent="0.25">
      <c r="A811" s="77" t="s">
        <v>18854</v>
      </c>
      <c r="B811" s="77" t="s">
        <v>18855</v>
      </c>
      <c r="C811" s="61" t="s">
        <v>17797</v>
      </c>
      <c r="D811" s="61" t="s">
        <v>10171</v>
      </c>
      <c r="E811" s="61" t="s">
        <v>8854</v>
      </c>
      <c r="F811" s="61"/>
      <c r="G811" s="5"/>
      <c r="H811" s="5"/>
      <c r="I811" s="5"/>
      <c r="J811" s="5"/>
    </row>
    <row r="812" spans="1:10" ht="14.1" customHeight="1" thickBot="1" x14ac:dyDescent="0.25">
      <c r="A812" s="82" t="s">
        <v>14828</v>
      </c>
      <c r="B812" s="62" t="s">
        <v>8528</v>
      </c>
      <c r="C812" s="71">
        <v>44013</v>
      </c>
      <c r="D812" s="82" t="s">
        <v>9385</v>
      </c>
      <c r="E812" s="62" t="s">
        <v>13093</v>
      </c>
      <c r="F812" s="61" t="s">
        <v>3080</v>
      </c>
      <c r="G812" s="5"/>
      <c r="H812" s="5"/>
      <c r="I812" s="5"/>
      <c r="J812" s="5"/>
    </row>
    <row r="813" spans="1:10" ht="14.1" customHeight="1" thickBot="1" x14ac:dyDescent="0.25">
      <c r="A813" s="83"/>
      <c r="B813" s="62" t="s">
        <v>1786</v>
      </c>
      <c r="C813" s="60">
        <f>IF(C812="","",IF(AND(MONTH(C812)&gt;=1,MONTH(C812)&lt;=3),1,IF(AND(MONTH(C812)&gt;=4,MONTH(C812)&lt;=6),2,IF(AND(MONTH(C812)&gt;=7,MONTH(C812)&lt;=9),3,4))))</f>
        <v>3</v>
      </c>
      <c r="D813" s="83"/>
      <c r="E813" s="62" t="s">
        <v>2417</v>
      </c>
      <c r="F813" s="61" t="s">
        <v>11112</v>
      </c>
      <c r="G813" s="5"/>
      <c r="H813" s="5"/>
      <c r="I813" s="5"/>
      <c r="J813" s="5"/>
    </row>
    <row r="814" spans="1:10" ht="14.1" customHeight="1" thickBot="1" x14ac:dyDescent="0.25">
      <c r="A814" s="83"/>
      <c r="B814" s="62" t="s">
        <v>12942</v>
      </c>
      <c r="C814" s="71">
        <v>44104</v>
      </c>
      <c r="D814" s="83"/>
      <c r="E814" s="62" t="s">
        <v>3073</v>
      </c>
      <c r="F814" s="61" t="s">
        <v>11112</v>
      </c>
      <c r="G814" s="5"/>
      <c r="H814" s="5"/>
      <c r="I814" s="5"/>
      <c r="J814" s="5"/>
    </row>
    <row r="815" spans="1:10" ht="14.1" customHeight="1" thickBot="1" x14ac:dyDescent="0.25">
      <c r="A815" s="83"/>
      <c r="B815" s="62" t="s">
        <v>1786</v>
      </c>
      <c r="C815" s="60">
        <f>IF(C814="","",IF(AND(MONTH(C814)&gt;=1,MONTH(C814)&lt;=3),1,IF(AND(MONTH(C814)&gt;=4,MONTH(C814)&lt;=6),2,IF(AND(MONTH(C814)&gt;=7,MONTH(C814)&lt;=9),3,4))))</f>
        <v>3</v>
      </c>
      <c r="D815" s="83"/>
      <c r="E815" s="62" t="s">
        <v>13192</v>
      </c>
      <c r="F815" s="61" t="s">
        <v>11112</v>
      </c>
      <c r="G815" s="5"/>
      <c r="H815" s="5"/>
      <c r="I815" s="5"/>
      <c r="J815" s="5"/>
    </row>
    <row r="816" spans="1:10" ht="14.1" customHeight="1" thickBot="1" x14ac:dyDescent="0.25">
      <c r="A816" s="5"/>
      <c r="B816" s="5"/>
      <c r="C816" s="5"/>
      <c r="D816" s="5"/>
      <c r="E816" s="5"/>
      <c r="F816" s="5"/>
      <c r="G816" s="5"/>
      <c r="H816" s="5"/>
      <c r="I816" s="5"/>
      <c r="J816" s="5"/>
    </row>
    <row r="817" spans="1:10" ht="14.1" customHeight="1" thickBot="1" x14ac:dyDescent="0.25">
      <c r="A817" s="67" t="s">
        <v>15735</v>
      </c>
      <c r="B817" s="67" t="s">
        <v>16146</v>
      </c>
      <c r="C817" s="67" t="s">
        <v>15641</v>
      </c>
      <c r="D817" s="67" t="s">
        <v>15251</v>
      </c>
      <c r="E817" s="67" t="s">
        <v>6932</v>
      </c>
      <c r="F817" s="67" t="s">
        <v>15280</v>
      </c>
      <c r="G817" s="5"/>
      <c r="H817" s="5"/>
      <c r="I817" s="5"/>
      <c r="J817" s="5"/>
    </row>
    <row r="818" spans="1:10" ht="13.5" customHeight="1" x14ac:dyDescent="0.2">
      <c r="A818" s="78">
        <v>52151504</v>
      </c>
      <c r="B818" s="64" t="str">
        <f t="shared" ref="B818:B827" ca="1" si="44">IFERROR(INDEX(UNSPSCDes,MATCH(INDIRECT(ADDRESS(ROW(),COLUMN()-1,4)),UNSPSCCode,0)),"")</f>
        <v>Tazas o vasos o tapas desechables para uso doméstico</v>
      </c>
      <c r="C818" s="63" t="s">
        <v>4735</v>
      </c>
      <c r="D818" s="63">
        <v>43</v>
      </c>
      <c r="E818" s="66">
        <v>250</v>
      </c>
      <c r="F818" s="65">
        <f t="shared" ref="F818:F827" ca="1" si="45">INDIRECT(ADDRESS(ROW(),COLUMN()-2,4))*INDIRECT(ADDRESS(ROW(),COLUMN()-1,4))</f>
        <v>10750</v>
      </c>
      <c r="G818" s="5"/>
      <c r="H818" s="5"/>
      <c r="I818" s="5"/>
      <c r="J818" s="5"/>
    </row>
    <row r="819" spans="1:10" ht="13.5" customHeight="1" x14ac:dyDescent="0.2">
      <c r="A819" s="78">
        <v>52151502</v>
      </c>
      <c r="B819" s="64" t="str">
        <f t="shared" ca="1" si="44"/>
        <v>Platos desechables para uso doméstico</v>
      </c>
      <c r="C819" s="63" t="s">
        <v>4735</v>
      </c>
      <c r="D819" s="63">
        <v>40</v>
      </c>
      <c r="E819" s="66">
        <v>200</v>
      </c>
      <c r="F819" s="65">
        <f t="shared" ca="1" si="45"/>
        <v>8000</v>
      </c>
      <c r="G819" s="5"/>
      <c r="H819" s="5"/>
      <c r="I819" s="5"/>
      <c r="J819" s="5"/>
    </row>
    <row r="820" spans="1:10" ht="13.5" customHeight="1" x14ac:dyDescent="0.2">
      <c r="A820" s="78">
        <v>52152006</v>
      </c>
      <c r="B820" s="64" t="str">
        <f t="shared" ca="1" si="44"/>
        <v>Bandejas o fuentes para uso doméstico</v>
      </c>
      <c r="C820" s="63" t="s">
        <v>1449</v>
      </c>
      <c r="D820" s="63">
        <v>1</v>
      </c>
      <c r="E820" s="66">
        <v>500</v>
      </c>
      <c r="F820" s="65">
        <f t="shared" ca="1" si="45"/>
        <v>500</v>
      </c>
      <c r="G820" s="5"/>
      <c r="H820" s="5"/>
      <c r="I820" s="5"/>
      <c r="J820" s="5"/>
    </row>
    <row r="821" spans="1:10" ht="13.5" customHeight="1" x14ac:dyDescent="0.2">
      <c r="A821" s="78">
        <v>52152008</v>
      </c>
      <c r="B821" s="64" t="str">
        <f t="shared" ca="1" si="44"/>
        <v>Teteras o cafeteras para uso doméstico</v>
      </c>
      <c r="C821" s="63" t="s">
        <v>1449</v>
      </c>
      <c r="D821" s="63">
        <v>1</v>
      </c>
      <c r="E821" s="66">
        <v>1100</v>
      </c>
      <c r="F821" s="65">
        <f t="shared" ca="1" si="45"/>
        <v>1100</v>
      </c>
      <c r="G821" s="5"/>
      <c r="H821" s="5"/>
      <c r="I821" s="5"/>
      <c r="J821" s="5"/>
    </row>
    <row r="822" spans="1:10" ht="13.5" customHeight="1" x14ac:dyDescent="0.2">
      <c r="A822" s="78">
        <v>52152101</v>
      </c>
      <c r="B822" s="64" t="str">
        <f t="shared" ca="1" si="44"/>
        <v>Tazas de café o té para uso doméstico</v>
      </c>
      <c r="C822" s="63" t="s">
        <v>1449</v>
      </c>
      <c r="D822" s="63">
        <v>5</v>
      </c>
      <c r="E822" s="66">
        <v>200</v>
      </c>
      <c r="F822" s="65">
        <f t="shared" ca="1" si="45"/>
        <v>1000</v>
      </c>
      <c r="G822" s="5"/>
      <c r="H822" s="5"/>
      <c r="I822" s="5"/>
      <c r="J822" s="5"/>
    </row>
    <row r="823" spans="1:10" ht="13.5" customHeight="1" x14ac:dyDescent="0.2">
      <c r="A823" s="78">
        <v>52151704</v>
      </c>
      <c r="B823" s="64" t="str">
        <f t="shared" ca="1" si="44"/>
        <v>Cucharas para uso doméstico</v>
      </c>
      <c r="C823" s="63" t="s">
        <v>1449</v>
      </c>
      <c r="D823" s="63">
        <v>20</v>
      </c>
      <c r="E823" s="66">
        <v>25</v>
      </c>
      <c r="F823" s="65">
        <f t="shared" ca="1" si="45"/>
        <v>500</v>
      </c>
      <c r="G823" s="5"/>
      <c r="H823" s="5"/>
      <c r="I823" s="5"/>
      <c r="J823" s="5"/>
    </row>
    <row r="824" spans="1:10" ht="13.5" customHeight="1" x14ac:dyDescent="0.2">
      <c r="A824" s="78">
        <v>52151703</v>
      </c>
      <c r="B824" s="64" t="str">
        <f t="shared" ca="1" si="44"/>
        <v>Tenedores para uso doméstico</v>
      </c>
      <c r="C824" s="63" t="s">
        <v>1449</v>
      </c>
      <c r="D824" s="63">
        <v>20</v>
      </c>
      <c r="E824" s="66">
        <v>25</v>
      </c>
      <c r="F824" s="65">
        <f t="shared" ca="1" si="45"/>
        <v>500</v>
      </c>
      <c r="G824" s="5"/>
      <c r="H824" s="5"/>
      <c r="I824" s="5"/>
      <c r="J824" s="5"/>
    </row>
    <row r="825" spans="1:10" ht="13.5" customHeight="1" x14ac:dyDescent="0.2">
      <c r="A825" s="78">
        <v>52151702</v>
      </c>
      <c r="B825" s="64" t="str">
        <f t="shared" ca="1" si="44"/>
        <v>Cuchillos para uso doméstico</v>
      </c>
      <c r="C825" s="63" t="s">
        <v>1449</v>
      </c>
      <c r="D825" s="63">
        <v>20</v>
      </c>
      <c r="E825" s="66">
        <v>25</v>
      </c>
      <c r="F825" s="65">
        <f t="shared" ca="1" si="45"/>
        <v>500</v>
      </c>
      <c r="G825" s="5"/>
      <c r="H825" s="5"/>
      <c r="I825" s="5"/>
      <c r="J825" s="5"/>
    </row>
    <row r="826" spans="1:10" ht="13.5" customHeight="1" x14ac:dyDescent="0.2">
      <c r="A826" s="78">
        <v>52151616</v>
      </c>
      <c r="B826" s="64" t="str">
        <f t="shared" ca="1" si="44"/>
        <v>Espátulas de cocina para uso doméstico</v>
      </c>
      <c r="C826" s="63" t="s">
        <v>1449</v>
      </c>
      <c r="D826" s="63">
        <v>1</v>
      </c>
      <c r="E826" s="66">
        <v>100</v>
      </c>
      <c r="F826" s="65">
        <f t="shared" ca="1" si="45"/>
        <v>100</v>
      </c>
      <c r="G826" s="5"/>
      <c r="H826" s="5"/>
      <c r="I826" s="5"/>
      <c r="J826" s="5"/>
    </row>
    <row r="827" spans="1:10" ht="13.5" customHeight="1" x14ac:dyDescent="0.2">
      <c r="A827" s="78">
        <v>52151503</v>
      </c>
      <c r="B827" s="64" t="str">
        <f t="shared" ca="1" si="44"/>
        <v>Cubiertos desechables para uso doméstico</v>
      </c>
      <c r="C827" s="63" t="s">
        <v>4735</v>
      </c>
      <c r="D827" s="63">
        <v>8</v>
      </c>
      <c r="E827" s="66">
        <v>100</v>
      </c>
      <c r="F827" s="65">
        <f t="shared" ca="1" si="45"/>
        <v>800</v>
      </c>
      <c r="G827" s="5"/>
      <c r="H827" s="5"/>
      <c r="I827" s="5"/>
      <c r="J827" s="5"/>
    </row>
    <row r="828" spans="1:10" ht="14.1" customHeight="1" x14ac:dyDescent="0.2">
      <c r="A828" s="5"/>
      <c r="B828" s="5"/>
      <c r="C828" s="5"/>
      <c r="D828" s="5"/>
      <c r="E828" s="68" t="s">
        <v>12550</v>
      </c>
      <c r="F828" s="69">
        <f ca="1">SUM(Table345[MONTO TOTAL ESTIMADO])</f>
        <v>23750</v>
      </c>
      <c r="G828" s="5"/>
      <c r="H828" s="5" t="str">
        <f>C811</f>
        <v>Bienes</v>
      </c>
      <c r="I828" s="5" t="str">
        <f>E811</f>
        <v>Sí</v>
      </c>
      <c r="J828" s="5" t="str">
        <f>D811</f>
        <v>Compras por debajo del Umbral</v>
      </c>
    </row>
    <row r="829" spans="1:10" ht="14.1" customHeight="1" thickBot="1" x14ac:dyDescent="0.3"/>
    <row r="830" spans="1:10" ht="33.75" customHeight="1" thickBot="1" x14ac:dyDescent="0.25">
      <c r="A830" s="59" t="s">
        <v>16382</v>
      </c>
      <c r="B830" s="59" t="s">
        <v>161</v>
      </c>
      <c r="C830" s="59" t="s">
        <v>11724</v>
      </c>
      <c r="D830" s="59" t="s">
        <v>14378</v>
      </c>
      <c r="E830" s="59" t="s">
        <v>10962</v>
      </c>
      <c r="F830" s="59" t="s">
        <v>11095</v>
      </c>
      <c r="G830" s="5"/>
      <c r="H830" s="5"/>
      <c r="I830" s="5"/>
      <c r="J830" s="5"/>
    </row>
    <row r="831" spans="1:10" ht="13.5" customHeight="1" thickBot="1" x14ac:dyDescent="0.25">
      <c r="A831" s="77" t="s">
        <v>18854</v>
      </c>
      <c r="B831" s="77" t="s">
        <v>18855</v>
      </c>
      <c r="C831" s="61" t="s">
        <v>17797</v>
      </c>
      <c r="D831" s="61" t="s">
        <v>10171</v>
      </c>
      <c r="E831" s="61" t="s">
        <v>8854</v>
      </c>
      <c r="F831" s="61"/>
      <c r="G831" s="5"/>
      <c r="H831" s="5"/>
      <c r="I831" s="5"/>
      <c r="J831" s="5"/>
    </row>
    <row r="832" spans="1:10" ht="14.1" customHeight="1" thickBot="1" x14ac:dyDescent="0.25">
      <c r="A832" s="82" t="s">
        <v>14828</v>
      </c>
      <c r="B832" s="62" t="s">
        <v>8528</v>
      </c>
      <c r="C832" s="71">
        <v>44105</v>
      </c>
      <c r="D832" s="82" t="s">
        <v>9385</v>
      </c>
      <c r="E832" s="62" t="s">
        <v>13093</v>
      </c>
      <c r="F832" s="61" t="s">
        <v>3080</v>
      </c>
      <c r="G832" s="5"/>
      <c r="H832" s="5"/>
      <c r="I832" s="5"/>
      <c r="J832" s="5"/>
    </row>
    <row r="833" spans="1:10" ht="14.1" customHeight="1" thickBot="1" x14ac:dyDescent="0.25">
      <c r="A833" s="83"/>
      <c r="B833" s="62" t="s">
        <v>1786</v>
      </c>
      <c r="C833" s="60">
        <f>IF(C832="","",IF(AND(MONTH(C832)&gt;=1,MONTH(C832)&lt;=3),1,IF(AND(MONTH(C832)&gt;=4,MONTH(C832)&lt;=6),2,IF(AND(MONTH(C832)&gt;=7,MONTH(C832)&lt;=9),3,4))))</f>
        <v>4</v>
      </c>
      <c r="D833" s="83"/>
      <c r="E833" s="62" t="s">
        <v>2417</v>
      </c>
      <c r="F833" s="61" t="s">
        <v>11112</v>
      </c>
      <c r="G833" s="5"/>
      <c r="H833" s="5"/>
      <c r="I833" s="5"/>
      <c r="J833" s="5"/>
    </row>
    <row r="834" spans="1:10" ht="14.1" customHeight="1" thickBot="1" x14ac:dyDescent="0.25">
      <c r="A834" s="83"/>
      <c r="B834" s="62" t="s">
        <v>12942</v>
      </c>
      <c r="C834" s="71">
        <v>44196</v>
      </c>
      <c r="D834" s="83"/>
      <c r="E834" s="62" t="s">
        <v>3073</v>
      </c>
      <c r="F834" s="61" t="s">
        <v>11112</v>
      </c>
      <c r="G834" s="5"/>
      <c r="H834" s="5"/>
      <c r="I834" s="5"/>
      <c r="J834" s="5"/>
    </row>
    <row r="835" spans="1:10" ht="14.1" customHeight="1" thickBot="1" x14ac:dyDescent="0.25">
      <c r="A835" s="83"/>
      <c r="B835" s="62" t="s">
        <v>1786</v>
      </c>
      <c r="C835" s="60">
        <f>IF(C834="","",IF(AND(MONTH(C834)&gt;=1,MONTH(C834)&lt;=3),1,IF(AND(MONTH(C834)&gt;=4,MONTH(C834)&lt;=6),2,IF(AND(MONTH(C834)&gt;=7,MONTH(C834)&lt;=9),3,4))))</f>
        <v>4</v>
      </c>
      <c r="D835" s="83"/>
      <c r="E835" s="62" t="s">
        <v>13192</v>
      </c>
      <c r="F835" s="61" t="s">
        <v>11112</v>
      </c>
      <c r="G835" s="5"/>
      <c r="H835" s="5"/>
      <c r="I835" s="5"/>
      <c r="J835" s="5"/>
    </row>
    <row r="836" spans="1:10" ht="14.1" customHeight="1" thickBot="1" x14ac:dyDescent="0.25">
      <c r="A836" s="5"/>
      <c r="B836" s="5"/>
      <c r="C836" s="5"/>
      <c r="D836" s="5"/>
      <c r="E836" s="5"/>
      <c r="F836" s="5"/>
      <c r="G836" s="5"/>
      <c r="H836" s="5"/>
      <c r="I836" s="5"/>
      <c r="J836" s="5"/>
    </row>
    <row r="837" spans="1:10" ht="14.1" customHeight="1" thickBot="1" x14ac:dyDescent="0.25">
      <c r="A837" s="67" t="s">
        <v>15735</v>
      </c>
      <c r="B837" s="67" t="s">
        <v>16146</v>
      </c>
      <c r="C837" s="67" t="s">
        <v>15641</v>
      </c>
      <c r="D837" s="67" t="s">
        <v>15251</v>
      </c>
      <c r="E837" s="67" t="s">
        <v>6932</v>
      </c>
      <c r="F837" s="67" t="s">
        <v>15280</v>
      </c>
      <c r="G837" s="5"/>
      <c r="H837" s="5"/>
      <c r="I837" s="5"/>
      <c r="J837" s="5"/>
    </row>
    <row r="838" spans="1:10" ht="13.5" customHeight="1" x14ac:dyDescent="0.2">
      <c r="A838" s="78">
        <v>52151504</v>
      </c>
      <c r="B838" s="64" t="str">
        <f t="shared" ref="B838:B845" ca="1" si="46">IFERROR(INDEX(UNSPSCDes,MATCH(INDIRECT(ADDRESS(ROW(),COLUMN()-1,4)),UNSPSCCode,0)),"")</f>
        <v>Tazas o vasos o tapas desechables para uso doméstico</v>
      </c>
      <c r="C838" s="63" t="s">
        <v>4735</v>
      </c>
      <c r="D838" s="63">
        <v>41</v>
      </c>
      <c r="E838" s="66">
        <v>250</v>
      </c>
      <c r="F838" s="65">
        <f t="shared" ref="F838:F845" ca="1" si="47">INDIRECT(ADDRESS(ROW(),COLUMN()-2,4))*INDIRECT(ADDRESS(ROW(),COLUMN()-1,4))</f>
        <v>10250</v>
      </c>
      <c r="G838" s="5"/>
      <c r="H838" s="5"/>
      <c r="I838" s="5"/>
      <c r="J838" s="5"/>
    </row>
    <row r="839" spans="1:10" ht="13.5" customHeight="1" x14ac:dyDescent="0.2">
      <c r="A839" s="78">
        <v>52151502</v>
      </c>
      <c r="B839" s="64" t="str">
        <f t="shared" ca="1" si="46"/>
        <v>Platos desechables para uso doméstico</v>
      </c>
      <c r="C839" s="63" t="s">
        <v>4735</v>
      </c>
      <c r="D839" s="63">
        <v>40</v>
      </c>
      <c r="E839" s="66">
        <v>200</v>
      </c>
      <c r="F839" s="65">
        <f t="shared" ca="1" si="47"/>
        <v>8000</v>
      </c>
      <c r="G839" s="5"/>
      <c r="H839" s="5"/>
      <c r="I839" s="5"/>
      <c r="J839" s="5"/>
    </row>
    <row r="840" spans="1:10" ht="13.5" customHeight="1" x14ac:dyDescent="0.2">
      <c r="A840" s="78">
        <v>52152104</v>
      </c>
      <c r="B840" s="64" t="str">
        <f t="shared" ca="1" si="46"/>
        <v>Copas para uso doméstico</v>
      </c>
      <c r="C840" s="63" t="s">
        <v>1449</v>
      </c>
      <c r="D840" s="63">
        <v>5</v>
      </c>
      <c r="E840" s="66">
        <v>160</v>
      </c>
      <c r="F840" s="65">
        <f t="shared" ca="1" si="47"/>
        <v>800</v>
      </c>
      <c r="G840" s="5"/>
      <c r="H840" s="5"/>
      <c r="I840" s="5"/>
      <c r="J840" s="5"/>
    </row>
    <row r="841" spans="1:10" ht="13.5" customHeight="1" x14ac:dyDescent="0.2">
      <c r="A841" s="78">
        <v>52152102</v>
      </c>
      <c r="B841" s="64" t="str">
        <f t="shared" ca="1" si="46"/>
        <v>Vasos para beber para uso doméstico</v>
      </c>
      <c r="C841" s="63" t="s">
        <v>1449</v>
      </c>
      <c r="D841" s="63">
        <v>8</v>
      </c>
      <c r="E841" s="66">
        <v>100</v>
      </c>
      <c r="F841" s="65">
        <f t="shared" ca="1" si="47"/>
        <v>800</v>
      </c>
      <c r="G841" s="5"/>
      <c r="H841" s="5"/>
      <c r="I841" s="5"/>
      <c r="J841" s="5"/>
    </row>
    <row r="842" spans="1:10" ht="13.5" customHeight="1" x14ac:dyDescent="0.2">
      <c r="A842" s="78">
        <v>52152006</v>
      </c>
      <c r="B842" s="64" t="str">
        <f t="shared" ca="1" si="46"/>
        <v>Bandejas o fuentes para uso doméstico</v>
      </c>
      <c r="C842" s="63" t="s">
        <v>1449</v>
      </c>
      <c r="D842" s="63">
        <v>2</v>
      </c>
      <c r="E842" s="66">
        <v>500</v>
      </c>
      <c r="F842" s="65">
        <f t="shared" ca="1" si="47"/>
        <v>1000</v>
      </c>
      <c r="G842" s="5"/>
      <c r="H842" s="5"/>
      <c r="I842" s="5"/>
      <c r="J842" s="5"/>
    </row>
    <row r="843" spans="1:10" ht="13.5" customHeight="1" x14ac:dyDescent="0.2">
      <c r="A843" s="78">
        <v>52121606</v>
      </c>
      <c r="B843" s="64" t="str">
        <f t="shared" ca="1" si="46"/>
        <v>Individuales de mesa</v>
      </c>
      <c r="C843" s="63" t="s">
        <v>1449</v>
      </c>
      <c r="D843" s="63">
        <v>8</v>
      </c>
      <c r="E843" s="66">
        <v>100</v>
      </c>
      <c r="F843" s="65">
        <f t="shared" ca="1" si="47"/>
        <v>800</v>
      </c>
      <c r="G843" s="5"/>
      <c r="H843" s="5"/>
      <c r="I843" s="5"/>
      <c r="J843" s="5"/>
    </row>
    <row r="844" spans="1:10" ht="13.5" customHeight="1" x14ac:dyDescent="0.2">
      <c r="A844" s="78">
        <v>52152004</v>
      </c>
      <c r="B844" s="64" t="str">
        <f t="shared" ca="1" si="46"/>
        <v>Platos para uso doméstico</v>
      </c>
      <c r="C844" s="63" t="s">
        <v>1449</v>
      </c>
      <c r="D844" s="63">
        <v>9</v>
      </c>
      <c r="E844" s="66">
        <v>100</v>
      </c>
      <c r="F844" s="65">
        <f t="shared" ca="1" si="47"/>
        <v>900</v>
      </c>
      <c r="G844" s="5"/>
      <c r="H844" s="5"/>
      <c r="I844" s="5"/>
      <c r="J844" s="5"/>
    </row>
    <row r="845" spans="1:10" ht="13.5" customHeight="1" x14ac:dyDescent="0.2">
      <c r="A845" s="78">
        <v>52151650</v>
      </c>
      <c r="B845" s="64" t="str">
        <f t="shared" ca="1" si="46"/>
        <v>Escurridores para uso doméstico</v>
      </c>
      <c r="C845" s="63" t="s">
        <v>1449</v>
      </c>
      <c r="D845" s="63">
        <v>1</v>
      </c>
      <c r="E845" s="66">
        <v>1200</v>
      </c>
      <c r="F845" s="65">
        <f t="shared" ca="1" si="47"/>
        <v>1200</v>
      </c>
      <c r="G845" s="5"/>
      <c r="H845" s="5"/>
      <c r="I845" s="5"/>
      <c r="J845" s="5"/>
    </row>
    <row r="846" spans="1:10" ht="14.1" customHeight="1" x14ac:dyDescent="0.2">
      <c r="A846" s="5"/>
      <c r="B846" s="5"/>
      <c r="C846" s="5"/>
      <c r="D846" s="5"/>
      <c r="E846" s="68" t="s">
        <v>12550</v>
      </c>
      <c r="F846" s="69">
        <f ca="1">SUM(Table346[MONTO TOTAL ESTIMADO])</f>
        <v>23750</v>
      </c>
      <c r="G846" s="5"/>
      <c r="H846" s="5" t="str">
        <f>C831</f>
        <v>Bienes</v>
      </c>
      <c r="I846" s="5" t="str">
        <f>E831</f>
        <v>Sí</v>
      </c>
      <c r="J846" s="5" t="str">
        <f>D831</f>
        <v>Compras por debajo del Umbral</v>
      </c>
    </row>
    <row r="847" spans="1:10" ht="14.1" customHeight="1" thickBot="1" x14ac:dyDescent="0.3"/>
    <row r="848" spans="1:10" ht="33.75" customHeight="1" thickBot="1" x14ac:dyDescent="0.25">
      <c r="A848" s="59" t="s">
        <v>16382</v>
      </c>
      <c r="B848" s="59" t="s">
        <v>161</v>
      </c>
      <c r="C848" s="59" t="s">
        <v>11724</v>
      </c>
      <c r="D848" s="59" t="s">
        <v>14378</v>
      </c>
      <c r="E848" s="59" t="s">
        <v>10962</v>
      </c>
      <c r="F848" s="59" t="s">
        <v>11095</v>
      </c>
      <c r="G848" s="5"/>
      <c r="H848" s="5"/>
      <c r="I848" s="5"/>
      <c r="J848" s="5"/>
    </row>
    <row r="849" spans="1:10" ht="13.5" customHeight="1" thickBot="1" x14ac:dyDescent="0.25">
      <c r="A849" s="77" t="s">
        <v>18856</v>
      </c>
      <c r="B849" s="77" t="s">
        <v>18857</v>
      </c>
      <c r="C849" s="61" t="s">
        <v>17797</v>
      </c>
      <c r="D849" s="61" t="s">
        <v>10171</v>
      </c>
      <c r="E849" s="61" t="s">
        <v>8854</v>
      </c>
      <c r="F849" s="61"/>
      <c r="G849" s="5"/>
      <c r="H849" s="5"/>
      <c r="I849" s="5"/>
      <c r="J849" s="5"/>
    </row>
    <row r="850" spans="1:10" ht="14.1" customHeight="1" thickBot="1" x14ac:dyDescent="0.25">
      <c r="A850" s="82" t="s">
        <v>14828</v>
      </c>
      <c r="B850" s="62" t="s">
        <v>8528</v>
      </c>
      <c r="C850" s="71">
        <v>43831</v>
      </c>
      <c r="D850" s="82" t="s">
        <v>9385</v>
      </c>
      <c r="E850" s="62" t="s">
        <v>13093</v>
      </c>
      <c r="F850" s="61" t="s">
        <v>3080</v>
      </c>
      <c r="G850" s="5"/>
      <c r="H850" s="5"/>
      <c r="I850" s="5"/>
      <c r="J850" s="5"/>
    </row>
    <row r="851" spans="1:10" ht="14.1" customHeight="1" thickBot="1" x14ac:dyDescent="0.25">
      <c r="A851" s="83"/>
      <c r="B851" s="62" t="s">
        <v>1786</v>
      </c>
      <c r="C851" s="60">
        <f>IF(C850="","",IF(AND(MONTH(C850)&gt;=1,MONTH(C850)&lt;=3),1,IF(AND(MONTH(C850)&gt;=4,MONTH(C850)&lt;=6),2,IF(AND(MONTH(C850)&gt;=7,MONTH(C850)&lt;=9),3,4))))</f>
        <v>1</v>
      </c>
      <c r="D851" s="83"/>
      <c r="E851" s="62" t="s">
        <v>2417</v>
      </c>
      <c r="F851" s="61" t="s">
        <v>11112</v>
      </c>
      <c r="G851" s="5"/>
      <c r="H851" s="5"/>
      <c r="I851" s="5"/>
      <c r="J851" s="5"/>
    </row>
    <row r="852" spans="1:10" ht="14.1" customHeight="1" thickBot="1" x14ac:dyDescent="0.25">
      <c r="A852" s="83"/>
      <c r="B852" s="62" t="s">
        <v>12942</v>
      </c>
      <c r="C852" s="71">
        <v>43921</v>
      </c>
      <c r="D852" s="83"/>
      <c r="E852" s="62" t="s">
        <v>3073</v>
      </c>
      <c r="F852" s="61" t="s">
        <v>11112</v>
      </c>
      <c r="G852" s="5"/>
      <c r="H852" s="5"/>
      <c r="I852" s="5"/>
      <c r="J852" s="5"/>
    </row>
    <row r="853" spans="1:10" ht="14.1" customHeight="1" thickBot="1" x14ac:dyDescent="0.25">
      <c r="A853" s="83"/>
      <c r="B853" s="62" t="s">
        <v>1786</v>
      </c>
      <c r="C853" s="60">
        <f>IF(C852="","",IF(AND(MONTH(C852)&gt;=1,MONTH(C852)&lt;=3),1,IF(AND(MONTH(C852)&gt;=4,MONTH(C852)&lt;=6),2,IF(AND(MONTH(C852)&gt;=7,MONTH(C852)&lt;=9),3,4))))</f>
        <v>1</v>
      </c>
      <c r="D853" s="83"/>
      <c r="E853" s="62" t="s">
        <v>13192</v>
      </c>
      <c r="F853" s="61" t="s">
        <v>11112</v>
      </c>
      <c r="G853" s="5"/>
      <c r="H853" s="5"/>
      <c r="I853" s="5"/>
      <c r="J853" s="5"/>
    </row>
    <row r="854" spans="1:10" ht="14.1" customHeight="1" thickBot="1" x14ac:dyDescent="0.25">
      <c r="A854" s="5"/>
      <c r="B854" s="5"/>
      <c r="C854" s="5"/>
      <c r="D854" s="5"/>
      <c r="E854" s="5"/>
      <c r="F854" s="5"/>
      <c r="G854" s="5"/>
      <c r="H854" s="5"/>
      <c r="I854" s="5"/>
      <c r="J854" s="5"/>
    </row>
    <row r="855" spans="1:10" ht="14.1" customHeight="1" thickBot="1" x14ac:dyDescent="0.25">
      <c r="A855" s="67" t="s">
        <v>15735</v>
      </c>
      <c r="B855" s="67" t="s">
        <v>16146</v>
      </c>
      <c r="C855" s="67" t="s">
        <v>15641</v>
      </c>
      <c r="D855" s="67" t="s">
        <v>15251</v>
      </c>
      <c r="E855" s="67" t="s">
        <v>6932</v>
      </c>
      <c r="F855" s="67" t="s">
        <v>15280</v>
      </c>
      <c r="G855" s="5"/>
      <c r="H855" s="5"/>
      <c r="I855" s="5"/>
      <c r="J855" s="5"/>
    </row>
    <row r="856" spans="1:10" ht="13.5" customHeight="1" x14ac:dyDescent="0.2">
      <c r="A856" s="78">
        <v>39121002</v>
      </c>
      <c r="B856" s="64" t="str">
        <f t="shared" ref="B856:B868" ca="1" si="48">IFERROR(INDEX(UNSPSCDes,MATCH(INDIRECT(ADDRESS(ROW(),COLUMN()-1,4)),UNSPSCCode,0)),"")</f>
        <v>Transformadores de suministro de potencia</v>
      </c>
      <c r="C856" s="63" t="s">
        <v>1449</v>
      </c>
      <c r="D856" s="63">
        <v>20</v>
      </c>
      <c r="E856" s="66">
        <v>700</v>
      </c>
      <c r="F856" s="65">
        <f t="shared" ref="F856:F868" ca="1" si="49">INDIRECT(ADDRESS(ROW(),COLUMN()-2,4))*INDIRECT(ADDRESS(ROW(),COLUMN()-1,4))</f>
        <v>14000</v>
      </c>
      <c r="G856" s="5"/>
      <c r="H856" s="5"/>
      <c r="I856" s="5"/>
      <c r="J856" s="5"/>
    </row>
    <row r="857" spans="1:10" ht="13.5" customHeight="1" x14ac:dyDescent="0.2">
      <c r="A857" s="78">
        <v>32121501</v>
      </c>
      <c r="B857" s="64" t="str">
        <f t="shared" ca="1" si="48"/>
        <v>Capacitores fijos</v>
      </c>
      <c r="C857" s="63" t="s">
        <v>1449</v>
      </c>
      <c r="D857" s="63">
        <v>15</v>
      </c>
      <c r="E857" s="66">
        <v>500</v>
      </c>
      <c r="F857" s="65">
        <f t="shared" ca="1" si="49"/>
        <v>7500</v>
      </c>
      <c r="G857" s="5"/>
      <c r="H857" s="5"/>
      <c r="I857" s="5"/>
      <c r="J857" s="5"/>
    </row>
    <row r="858" spans="1:10" ht="13.5" customHeight="1" x14ac:dyDescent="0.2">
      <c r="A858" s="78">
        <v>32121705</v>
      </c>
      <c r="B858" s="64" t="str">
        <f t="shared" ca="1" si="48"/>
        <v>Inversores</v>
      </c>
      <c r="C858" s="63" t="s">
        <v>1449</v>
      </c>
      <c r="D858" s="63">
        <v>1</v>
      </c>
      <c r="E858" s="66">
        <v>18000</v>
      </c>
      <c r="F858" s="65">
        <f t="shared" ca="1" si="49"/>
        <v>18000</v>
      </c>
      <c r="G858" s="5"/>
      <c r="H858" s="5"/>
      <c r="I858" s="5"/>
      <c r="J858" s="5"/>
    </row>
    <row r="859" spans="1:10" ht="13.5" customHeight="1" x14ac:dyDescent="0.2">
      <c r="A859" s="78">
        <v>31162304</v>
      </c>
      <c r="B859" s="64" t="str">
        <f t="shared" ca="1" si="48"/>
        <v>Regletas de montaje</v>
      </c>
      <c r="C859" s="63" t="s">
        <v>1449</v>
      </c>
      <c r="D859" s="63">
        <v>6</v>
      </c>
      <c r="E859" s="66">
        <v>700</v>
      </c>
      <c r="F859" s="65">
        <f t="shared" ca="1" si="49"/>
        <v>4200</v>
      </c>
      <c r="G859" s="5"/>
      <c r="H859" s="5"/>
      <c r="I859" s="5"/>
      <c r="J859" s="5"/>
    </row>
    <row r="860" spans="1:10" ht="13.5" customHeight="1" x14ac:dyDescent="0.2">
      <c r="A860" s="78">
        <v>46171501</v>
      </c>
      <c r="B860" s="64" t="str">
        <f t="shared" ca="1" si="48"/>
        <v>Candados</v>
      </c>
      <c r="C860" s="63" t="s">
        <v>1449</v>
      </c>
      <c r="D860" s="63">
        <v>4</v>
      </c>
      <c r="E860" s="66">
        <v>600</v>
      </c>
      <c r="F860" s="65">
        <f t="shared" ca="1" si="49"/>
        <v>2400</v>
      </c>
      <c r="G860" s="5"/>
      <c r="H860" s="5"/>
      <c r="I860" s="5"/>
      <c r="J860" s="5"/>
    </row>
    <row r="861" spans="1:10" ht="13.5" customHeight="1" x14ac:dyDescent="0.2">
      <c r="A861" s="78">
        <v>31162402</v>
      </c>
      <c r="B861" s="64" t="str">
        <f t="shared" ca="1" si="48"/>
        <v>Cerraduras</v>
      </c>
      <c r="C861" s="63" t="s">
        <v>1449</v>
      </c>
      <c r="D861" s="63">
        <v>4</v>
      </c>
      <c r="E861" s="66">
        <v>900</v>
      </c>
      <c r="F861" s="65">
        <f t="shared" ca="1" si="49"/>
        <v>3600</v>
      </c>
      <c r="G861" s="5"/>
      <c r="H861" s="5"/>
      <c r="I861" s="5"/>
      <c r="J861" s="5"/>
    </row>
    <row r="862" spans="1:10" ht="13.5" customHeight="1" x14ac:dyDescent="0.2">
      <c r="A862" s="78">
        <v>39101701</v>
      </c>
      <c r="B862" s="64" t="str">
        <f t="shared" ca="1" si="48"/>
        <v>Tubos fluorescentes</v>
      </c>
      <c r="C862" s="63" t="s">
        <v>16988</v>
      </c>
      <c r="D862" s="63">
        <v>17</v>
      </c>
      <c r="E862" s="66">
        <v>1500</v>
      </c>
      <c r="F862" s="65">
        <f t="shared" ca="1" si="49"/>
        <v>25500</v>
      </c>
      <c r="G862" s="5"/>
      <c r="H862" s="5"/>
      <c r="I862" s="5"/>
      <c r="J862" s="5"/>
    </row>
    <row r="863" spans="1:10" ht="13.5" customHeight="1" x14ac:dyDescent="0.2">
      <c r="A863" s="78">
        <v>39121601</v>
      </c>
      <c r="B863" s="64" t="str">
        <f t="shared" ca="1" si="48"/>
        <v>Breakers de circuito</v>
      </c>
      <c r="C863" s="63" t="s">
        <v>1449</v>
      </c>
      <c r="D863" s="63">
        <v>5</v>
      </c>
      <c r="E863" s="66">
        <v>160</v>
      </c>
      <c r="F863" s="65">
        <f t="shared" ca="1" si="49"/>
        <v>800</v>
      </c>
      <c r="G863" s="5"/>
      <c r="H863" s="5"/>
      <c r="I863" s="5"/>
      <c r="J863" s="5"/>
    </row>
    <row r="864" spans="1:10" ht="13.5" customHeight="1" x14ac:dyDescent="0.2">
      <c r="A864" s="78">
        <v>26111704</v>
      </c>
      <c r="B864" s="64" t="str">
        <f t="shared" ca="1" si="48"/>
        <v>Cargadores de baterías</v>
      </c>
      <c r="C864" s="63" t="s">
        <v>1449</v>
      </c>
      <c r="D864" s="63">
        <v>7</v>
      </c>
      <c r="E864" s="66">
        <v>2000</v>
      </c>
      <c r="F864" s="65">
        <f t="shared" ca="1" si="49"/>
        <v>14000</v>
      </c>
      <c r="G864" s="5"/>
      <c r="H864" s="5"/>
      <c r="I864" s="5"/>
      <c r="J864" s="5"/>
    </row>
    <row r="865" spans="1:10" ht="13.5" customHeight="1" x14ac:dyDescent="0.2">
      <c r="A865" s="78">
        <v>27111801</v>
      </c>
      <c r="B865" s="64" t="str">
        <f t="shared" ca="1" si="48"/>
        <v>Cintas métricas</v>
      </c>
      <c r="C865" s="63" t="s">
        <v>1449</v>
      </c>
      <c r="D865" s="63">
        <v>3</v>
      </c>
      <c r="E865" s="66">
        <v>300</v>
      </c>
      <c r="F865" s="65">
        <f t="shared" ca="1" si="49"/>
        <v>900</v>
      </c>
      <c r="G865" s="5"/>
      <c r="H865" s="5"/>
      <c r="I865" s="5"/>
      <c r="J865" s="5"/>
    </row>
    <row r="866" spans="1:10" ht="13.5" customHeight="1" x14ac:dyDescent="0.2">
      <c r="A866" s="78">
        <v>27111509</v>
      </c>
      <c r="B866" s="64" t="str">
        <f t="shared" ca="1" si="48"/>
        <v>Barrenas</v>
      </c>
      <c r="C866" s="63" t="s">
        <v>1449</v>
      </c>
      <c r="D866" s="63">
        <v>8</v>
      </c>
      <c r="E866" s="66">
        <v>100</v>
      </c>
      <c r="F866" s="65">
        <f t="shared" ca="1" si="49"/>
        <v>800</v>
      </c>
      <c r="G866" s="5"/>
      <c r="H866" s="5"/>
      <c r="I866" s="5"/>
      <c r="J866" s="5"/>
    </row>
    <row r="867" spans="1:10" ht="13.5" customHeight="1" x14ac:dyDescent="0.2">
      <c r="A867" s="78">
        <v>31161501</v>
      </c>
      <c r="B867" s="64" t="str">
        <f t="shared" ca="1" si="48"/>
        <v>Tornillos de perno</v>
      </c>
      <c r="C867" s="63" t="s">
        <v>16988</v>
      </c>
      <c r="D867" s="63">
        <v>8</v>
      </c>
      <c r="E867" s="66">
        <v>100</v>
      </c>
      <c r="F867" s="65">
        <f t="shared" ca="1" si="49"/>
        <v>800</v>
      </c>
      <c r="G867" s="5"/>
      <c r="H867" s="5"/>
      <c r="I867" s="5"/>
      <c r="J867" s="5"/>
    </row>
    <row r="868" spans="1:10" ht="13.5" customHeight="1" x14ac:dyDescent="0.2">
      <c r="A868" s="78">
        <v>40151501</v>
      </c>
      <c r="B868" s="64" t="str">
        <f t="shared" ca="1" si="48"/>
        <v>Bombas de aire</v>
      </c>
      <c r="C868" s="63" t="s">
        <v>1449</v>
      </c>
      <c r="D868" s="63">
        <v>5</v>
      </c>
      <c r="E868" s="66">
        <v>1500</v>
      </c>
      <c r="F868" s="65">
        <f t="shared" ca="1" si="49"/>
        <v>7500</v>
      </c>
      <c r="G868" s="5"/>
      <c r="H868" s="5"/>
      <c r="I868" s="5"/>
      <c r="J868" s="5"/>
    </row>
    <row r="869" spans="1:10" ht="14.1" customHeight="1" x14ac:dyDescent="0.2">
      <c r="A869" s="5"/>
      <c r="B869" s="5"/>
      <c r="C869" s="5"/>
      <c r="D869" s="5"/>
      <c r="E869" s="68" t="s">
        <v>12550</v>
      </c>
      <c r="F869" s="69">
        <f ca="1">SUM(Table347[MONTO TOTAL ESTIMADO])</f>
        <v>100000</v>
      </c>
      <c r="G869" s="5"/>
      <c r="H869" s="5" t="str">
        <f>C849</f>
        <v>Bienes</v>
      </c>
      <c r="I869" s="5" t="str">
        <f>E849</f>
        <v>Sí</v>
      </c>
      <c r="J869" s="5" t="str">
        <f>D849</f>
        <v>Compras por debajo del Umbral</v>
      </c>
    </row>
    <row r="870" spans="1:10" ht="14.1" customHeight="1" thickBot="1" x14ac:dyDescent="0.3"/>
    <row r="871" spans="1:10" ht="33.75" customHeight="1" thickBot="1" x14ac:dyDescent="0.25">
      <c r="A871" s="59" t="s">
        <v>16382</v>
      </c>
      <c r="B871" s="59" t="s">
        <v>161</v>
      </c>
      <c r="C871" s="59" t="s">
        <v>11724</v>
      </c>
      <c r="D871" s="59" t="s">
        <v>14378</v>
      </c>
      <c r="E871" s="59" t="s">
        <v>10962</v>
      </c>
      <c r="F871" s="59" t="s">
        <v>11095</v>
      </c>
      <c r="G871" s="5"/>
      <c r="H871" s="5"/>
      <c r="I871" s="5"/>
      <c r="J871" s="5"/>
    </row>
    <row r="872" spans="1:10" ht="13.5" customHeight="1" thickBot="1" x14ac:dyDescent="0.25">
      <c r="A872" s="77" t="s">
        <v>18856</v>
      </c>
      <c r="B872" s="77" t="s">
        <v>18857</v>
      </c>
      <c r="C872" s="61" t="s">
        <v>17797</v>
      </c>
      <c r="D872" s="61" t="s">
        <v>10171</v>
      </c>
      <c r="E872" s="61" t="s">
        <v>8854</v>
      </c>
      <c r="F872" s="61"/>
      <c r="G872" s="5"/>
      <c r="H872" s="5"/>
      <c r="I872" s="5"/>
      <c r="J872" s="5"/>
    </row>
    <row r="873" spans="1:10" ht="14.1" customHeight="1" thickBot="1" x14ac:dyDescent="0.25">
      <c r="A873" s="82" t="s">
        <v>14828</v>
      </c>
      <c r="B873" s="62" t="s">
        <v>8528</v>
      </c>
      <c r="C873" s="71">
        <v>43922</v>
      </c>
      <c r="D873" s="82" t="s">
        <v>9385</v>
      </c>
      <c r="E873" s="62" t="s">
        <v>13093</v>
      </c>
      <c r="F873" s="61" t="s">
        <v>3080</v>
      </c>
      <c r="G873" s="5"/>
      <c r="H873" s="5"/>
      <c r="I873" s="5"/>
      <c r="J873" s="5"/>
    </row>
    <row r="874" spans="1:10" ht="14.1" customHeight="1" thickBot="1" x14ac:dyDescent="0.25">
      <c r="A874" s="83"/>
      <c r="B874" s="62" t="s">
        <v>1786</v>
      </c>
      <c r="C874" s="60">
        <f>IF(C873="","",IF(AND(MONTH(C873)&gt;=1,MONTH(C873)&lt;=3),1,IF(AND(MONTH(C873)&gt;=4,MONTH(C873)&lt;=6),2,IF(AND(MONTH(C873)&gt;=7,MONTH(C873)&lt;=9),3,4))))</f>
        <v>2</v>
      </c>
      <c r="D874" s="83"/>
      <c r="E874" s="62" t="s">
        <v>2417</v>
      </c>
      <c r="F874" s="61" t="s">
        <v>11112</v>
      </c>
      <c r="G874" s="5"/>
      <c r="H874" s="5"/>
      <c r="I874" s="5"/>
      <c r="J874" s="5"/>
    </row>
    <row r="875" spans="1:10" ht="14.1" customHeight="1" thickBot="1" x14ac:dyDescent="0.25">
      <c r="A875" s="83"/>
      <c r="B875" s="62" t="s">
        <v>12942</v>
      </c>
      <c r="C875" s="71">
        <v>44012</v>
      </c>
      <c r="D875" s="83"/>
      <c r="E875" s="62" t="s">
        <v>3073</v>
      </c>
      <c r="F875" s="61" t="s">
        <v>11112</v>
      </c>
      <c r="G875" s="5"/>
      <c r="H875" s="5"/>
      <c r="I875" s="5"/>
      <c r="J875" s="5"/>
    </row>
    <row r="876" spans="1:10" ht="14.1" customHeight="1" thickBot="1" x14ac:dyDescent="0.25">
      <c r="A876" s="83"/>
      <c r="B876" s="62" t="s">
        <v>1786</v>
      </c>
      <c r="C876" s="60">
        <f>IF(C875="","",IF(AND(MONTH(C875)&gt;=1,MONTH(C875)&lt;=3),1,IF(AND(MONTH(C875)&gt;=4,MONTH(C875)&lt;=6),2,IF(AND(MONTH(C875)&gt;=7,MONTH(C875)&lt;=9),3,4))))</f>
        <v>2</v>
      </c>
      <c r="D876" s="83"/>
      <c r="E876" s="62" t="s">
        <v>13192</v>
      </c>
      <c r="F876" s="61" t="s">
        <v>11112</v>
      </c>
      <c r="G876" s="5"/>
      <c r="H876" s="5"/>
      <c r="I876" s="5"/>
      <c r="J876" s="5"/>
    </row>
    <row r="877" spans="1:10" ht="14.1" customHeight="1" thickBot="1" x14ac:dyDescent="0.25">
      <c r="A877" s="5"/>
      <c r="B877" s="5"/>
      <c r="C877" s="5"/>
      <c r="D877" s="5"/>
      <c r="E877" s="5"/>
      <c r="F877" s="5"/>
      <c r="G877" s="5"/>
      <c r="H877" s="5"/>
      <c r="I877" s="5"/>
      <c r="J877" s="5"/>
    </row>
    <row r="878" spans="1:10" ht="14.1" customHeight="1" thickBot="1" x14ac:dyDescent="0.25">
      <c r="A878" s="67" t="s">
        <v>15735</v>
      </c>
      <c r="B878" s="67" t="s">
        <v>16146</v>
      </c>
      <c r="C878" s="67" t="s">
        <v>15641</v>
      </c>
      <c r="D878" s="67" t="s">
        <v>15251</v>
      </c>
      <c r="E878" s="67" t="s">
        <v>6932</v>
      </c>
      <c r="F878" s="67" t="s">
        <v>15280</v>
      </c>
      <c r="G878" s="5"/>
      <c r="H878" s="5"/>
      <c r="I878" s="5"/>
      <c r="J878" s="5"/>
    </row>
    <row r="879" spans="1:10" ht="13.5" customHeight="1" x14ac:dyDescent="0.2">
      <c r="A879" s="78">
        <v>39121002</v>
      </c>
      <c r="B879" s="64" t="str">
        <f t="shared" ref="B879:B890" ca="1" si="50">IFERROR(INDEX(UNSPSCDes,MATCH(INDIRECT(ADDRESS(ROW(),COLUMN()-1,4)),UNSPSCCode,0)),"")</f>
        <v>Transformadores de suministro de potencia</v>
      </c>
      <c r="C879" s="63" t="s">
        <v>1449</v>
      </c>
      <c r="D879" s="63">
        <v>20</v>
      </c>
      <c r="E879" s="66">
        <v>700</v>
      </c>
      <c r="F879" s="65">
        <f t="shared" ref="F879:F890" ca="1" si="51">INDIRECT(ADDRESS(ROW(),COLUMN()-2,4))*INDIRECT(ADDRESS(ROW(),COLUMN()-1,4))</f>
        <v>14000</v>
      </c>
      <c r="G879" s="5"/>
      <c r="H879" s="5"/>
      <c r="I879" s="5"/>
      <c r="J879" s="5"/>
    </row>
    <row r="880" spans="1:10" ht="13.5" customHeight="1" x14ac:dyDescent="0.2">
      <c r="A880" s="78">
        <v>32121501</v>
      </c>
      <c r="B880" s="64" t="str">
        <f t="shared" ca="1" si="50"/>
        <v>Capacitores fijos</v>
      </c>
      <c r="C880" s="63" t="s">
        <v>1449</v>
      </c>
      <c r="D880" s="63">
        <v>17</v>
      </c>
      <c r="E880" s="66">
        <v>500</v>
      </c>
      <c r="F880" s="65">
        <f t="shared" ca="1" si="51"/>
        <v>8500</v>
      </c>
      <c r="G880" s="5"/>
      <c r="H880" s="5"/>
      <c r="I880" s="5"/>
      <c r="J880" s="5"/>
    </row>
    <row r="881" spans="1:10" ht="13.5" customHeight="1" x14ac:dyDescent="0.2">
      <c r="A881" s="78">
        <v>31162304</v>
      </c>
      <c r="B881" s="64" t="str">
        <f t="shared" ca="1" si="50"/>
        <v>Regletas de montaje</v>
      </c>
      <c r="C881" s="63" t="s">
        <v>1449</v>
      </c>
      <c r="D881" s="63">
        <v>9</v>
      </c>
      <c r="E881" s="66">
        <v>700</v>
      </c>
      <c r="F881" s="65">
        <f t="shared" ca="1" si="51"/>
        <v>6300</v>
      </c>
      <c r="G881" s="5"/>
      <c r="H881" s="5"/>
      <c r="I881" s="5"/>
      <c r="J881" s="5"/>
    </row>
    <row r="882" spans="1:10" ht="13.5" customHeight="1" x14ac:dyDescent="0.2">
      <c r="A882" s="78">
        <v>31162801</v>
      </c>
      <c r="B882" s="64" t="str">
        <f t="shared" ca="1" si="50"/>
        <v>Chapas o pomos</v>
      </c>
      <c r="C882" s="63" t="s">
        <v>1449</v>
      </c>
      <c r="D882" s="63">
        <v>8</v>
      </c>
      <c r="E882" s="66">
        <v>600</v>
      </c>
      <c r="F882" s="65">
        <f t="shared" ca="1" si="51"/>
        <v>4800</v>
      </c>
      <c r="G882" s="5"/>
      <c r="H882" s="5"/>
      <c r="I882" s="5"/>
      <c r="J882" s="5"/>
    </row>
    <row r="883" spans="1:10" ht="13.5" customHeight="1" x14ac:dyDescent="0.2">
      <c r="A883" s="78">
        <v>31162402</v>
      </c>
      <c r="B883" s="64" t="str">
        <f t="shared" ca="1" si="50"/>
        <v>Cerraduras</v>
      </c>
      <c r="C883" s="63" t="s">
        <v>1449</v>
      </c>
      <c r="D883" s="63">
        <v>5</v>
      </c>
      <c r="E883" s="66">
        <v>900</v>
      </c>
      <c r="F883" s="65">
        <f t="shared" ca="1" si="51"/>
        <v>4500</v>
      </c>
      <c r="G883" s="5"/>
      <c r="H883" s="5"/>
      <c r="I883" s="5"/>
      <c r="J883" s="5"/>
    </row>
    <row r="884" spans="1:10" ht="13.5" customHeight="1" x14ac:dyDescent="0.2">
      <c r="A884" s="78">
        <v>39101701</v>
      </c>
      <c r="B884" s="64" t="str">
        <f t="shared" ca="1" si="50"/>
        <v>Tubos fluorescentes</v>
      </c>
      <c r="C884" s="63" t="s">
        <v>16988</v>
      </c>
      <c r="D884" s="63">
        <v>18</v>
      </c>
      <c r="E884" s="66">
        <v>1500</v>
      </c>
      <c r="F884" s="65">
        <f t="shared" ca="1" si="51"/>
        <v>27000</v>
      </c>
      <c r="G884" s="5"/>
      <c r="H884" s="5"/>
      <c r="I884" s="5"/>
      <c r="J884" s="5"/>
    </row>
    <row r="885" spans="1:10" ht="13.5" customHeight="1" x14ac:dyDescent="0.2">
      <c r="A885" s="78">
        <v>39121601</v>
      </c>
      <c r="B885" s="64" t="str">
        <f t="shared" ca="1" si="50"/>
        <v>Breakers de circuito</v>
      </c>
      <c r="C885" s="63" t="s">
        <v>1449</v>
      </c>
      <c r="D885" s="63">
        <v>5</v>
      </c>
      <c r="E885" s="66">
        <v>160</v>
      </c>
      <c r="F885" s="65">
        <f t="shared" ca="1" si="51"/>
        <v>800</v>
      </c>
      <c r="G885" s="5"/>
      <c r="H885" s="5"/>
      <c r="I885" s="5"/>
      <c r="J885" s="5"/>
    </row>
    <row r="886" spans="1:10" ht="13.5" customHeight="1" x14ac:dyDescent="0.2">
      <c r="A886" s="78">
        <v>26111704</v>
      </c>
      <c r="B886" s="64" t="str">
        <f t="shared" ca="1" si="50"/>
        <v>Cargadores de baterías</v>
      </c>
      <c r="C886" s="63" t="s">
        <v>1449</v>
      </c>
      <c r="D886" s="63">
        <v>9</v>
      </c>
      <c r="E886" s="66">
        <v>2000</v>
      </c>
      <c r="F886" s="65">
        <f t="shared" ca="1" si="51"/>
        <v>18000</v>
      </c>
      <c r="G886" s="5"/>
      <c r="H886" s="5"/>
      <c r="I886" s="5"/>
      <c r="J886" s="5"/>
    </row>
    <row r="887" spans="1:10" ht="13.5" customHeight="1" x14ac:dyDescent="0.2">
      <c r="A887" s="78">
        <v>27111801</v>
      </c>
      <c r="B887" s="64" t="str">
        <f t="shared" ca="1" si="50"/>
        <v>Cintas métricas</v>
      </c>
      <c r="C887" s="63" t="s">
        <v>1449</v>
      </c>
      <c r="D887" s="63">
        <v>5</v>
      </c>
      <c r="E887" s="66">
        <v>300</v>
      </c>
      <c r="F887" s="65">
        <f t="shared" ca="1" si="51"/>
        <v>1500</v>
      </c>
      <c r="G887" s="5"/>
      <c r="H887" s="5"/>
      <c r="I887" s="5"/>
      <c r="J887" s="5"/>
    </row>
    <row r="888" spans="1:10" ht="13.5" customHeight="1" x14ac:dyDescent="0.2">
      <c r="A888" s="78">
        <v>27111509</v>
      </c>
      <c r="B888" s="64" t="str">
        <f t="shared" ca="1" si="50"/>
        <v>Barrenas</v>
      </c>
      <c r="C888" s="63" t="s">
        <v>1449</v>
      </c>
      <c r="D888" s="63">
        <v>6</v>
      </c>
      <c r="E888" s="66">
        <v>100</v>
      </c>
      <c r="F888" s="65">
        <f t="shared" ca="1" si="51"/>
        <v>600</v>
      </c>
      <c r="G888" s="5"/>
      <c r="H888" s="5"/>
      <c r="I888" s="5"/>
      <c r="J888" s="5"/>
    </row>
    <row r="889" spans="1:10" ht="13.5" customHeight="1" x14ac:dyDescent="0.2">
      <c r="A889" s="78">
        <v>31161501</v>
      </c>
      <c r="B889" s="64" t="str">
        <f t="shared" ca="1" si="50"/>
        <v>Tornillos de perno</v>
      </c>
      <c r="C889" s="63" t="s">
        <v>16988</v>
      </c>
      <c r="D889" s="63">
        <v>5</v>
      </c>
      <c r="E889" s="66">
        <v>100</v>
      </c>
      <c r="F889" s="65">
        <f t="shared" ca="1" si="51"/>
        <v>500</v>
      </c>
      <c r="G889" s="5"/>
      <c r="H889" s="5"/>
      <c r="I889" s="5"/>
      <c r="J889" s="5"/>
    </row>
    <row r="890" spans="1:10" ht="13.5" customHeight="1" x14ac:dyDescent="0.2">
      <c r="A890" s="78">
        <v>40151501</v>
      </c>
      <c r="B890" s="64" t="str">
        <f t="shared" ca="1" si="50"/>
        <v>Bombas de aire</v>
      </c>
      <c r="C890" s="63" t="s">
        <v>1449</v>
      </c>
      <c r="D890" s="63">
        <v>9</v>
      </c>
      <c r="E890" s="66">
        <v>1500</v>
      </c>
      <c r="F890" s="65">
        <f t="shared" ca="1" si="51"/>
        <v>13500</v>
      </c>
      <c r="G890" s="5"/>
      <c r="H890" s="5"/>
      <c r="I890" s="5"/>
      <c r="J890" s="5"/>
    </row>
    <row r="891" spans="1:10" ht="14.1" customHeight="1" x14ac:dyDescent="0.2">
      <c r="A891" s="5"/>
      <c r="B891" s="5"/>
      <c r="C891" s="5"/>
      <c r="D891" s="5"/>
      <c r="E891" s="68" t="s">
        <v>12550</v>
      </c>
      <c r="F891" s="69">
        <f ca="1">SUM(Table348[MONTO TOTAL ESTIMADO])</f>
        <v>100000</v>
      </c>
      <c r="G891" s="5"/>
      <c r="H891" s="5" t="str">
        <f>C872</f>
        <v>Bienes</v>
      </c>
      <c r="I891" s="5" t="str">
        <f>E872</f>
        <v>Sí</v>
      </c>
      <c r="J891" s="5" t="str">
        <f>D872</f>
        <v>Compras por debajo del Umbral</v>
      </c>
    </row>
    <row r="892" spans="1:10" ht="14.1" customHeight="1" thickBot="1" x14ac:dyDescent="0.3"/>
    <row r="893" spans="1:10" ht="33.75" customHeight="1" thickBot="1" x14ac:dyDescent="0.25">
      <c r="A893" s="59" t="s">
        <v>16382</v>
      </c>
      <c r="B893" s="59" t="s">
        <v>161</v>
      </c>
      <c r="C893" s="59" t="s">
        <v>11724</v>
      </c>
      <c r="D893" s="59" t="s">
        <v>14378</v>
      </c>
      <c r="E893" s="59" t="s">
        <v>10962</v>
      </c>
      <c r="F893" s="59" t="s">
        <v>11095</v>
      </c>
      <c r="G893" s="5"/>
      <c r="H893" s="5"/>
      <c r="I893" s="5"/>
      <c r="J893" s="5"/>
    </row>
    <row r="894" spans="1:10" ht="13.5" customHeight="1" thickBot="1" x14ac:dyDescent="0.25">
      <c r="A894" s="77" t="s">
        <v>18856</v>
      </c>
      <c r="B894" s="77" t="s">
        <v>18857</v>
      </c>
      <c r="C894" s="61" t="s">
        <v>17797</v>
      </c>
      <c r="D894" s="61" t="s">
        <v>10171</v>
      </c>
      <c r="E894" s="61" t="s">
        <v>8854</v>
      </c>
      <c r="F894" s="61"/>
      <c r="G894" s="5"/>
      <c r="H894" s="5"/>
      <c r="I894" s="5"/>
      <c r="J894" s="5"/>
    </row>
    <row r="895" spans="1:10" ht="14.1" customHeight="1" thickBot="1" x14ac:dyDescent="0.25">
      <c r="A895" s="82" t="s">
        <v>14828</v>
      </c>
      <c r="B895" s="62" t="s">
        <v>8528</v>
      </c>
      <c r="C895" s="71">
        <v>44013</v>
      </c>
      <c r="D895" s="82" t="s">
        <v>9385</v>
      </c>
      <c r="E895" s="62" t="s">
        <v>13093</v>
      </c>
      <c r="F895" s="61" t="s">
        <v>3080</v>
      </c>
      <c r="G895" s="5"/>
      <c r="H895" s="5"/>
      <c r="I895" s="5"/>
      <c r="J895" s="5"/>
    </row>
    <row r="896" spans="1:10" ht="14.1" customHeight="1" thickBot="1" x14ac:dyDescent="0.25">
      <c r="A896" s="83"/>
      <c r="B896" s="62" t="s">
        <v>1786</v>
      </c>
      <c r="C896" s="60">
        <f>IF(C895="","",IF(AND(MONTH(C895)&gt;=1,MONTH(C895)&lt;=3),1,IF(AND(MONTH(C895)&gt;=4,MONTH(C895)&lt;=6),2,IF(AND(MONTH(C895)&gt;=7,MONTH(C895)&lt;=9),3,4))))</f>
        <v>3</v>
      </c>
      <c r="D896" s="83"/>
      <c r="E896" s="62" t="s">
        <v>2417</v>
      </c>
      <c r="F896" s="61" t="s">
        <v>11112</v>
      </c>
      <c r="G896" s="5"/>
      <c r="H896" s="5"/>
      <c r="I896" s="5"/>
      <c r="J896" s="5"/>
    </row>
    <row r="897" spans="1:10" ht="14.1" customHeight="1" thickBot="1" x14ac:dyDescent="0.25">
      <c r="A897" s="83"/>
      <c r="B897" s="62" t="s">
        <v>12942</v>
      </c>
      <c r="C897" s="71">
        <v>44104</v>
      </c>
      <c r="D897" s="83"/>
      <c r="E897" s="62" t="s">
        <v>3073</v>
      </c>
      <c r="F897" s="61" t="s">
        <v>11112</v>
      </c>
      <c r="G897" s="5"/>
      <c r="H897" s="5"/>
      <c r="I897" s="5"/>
      <c r="J897" s="5"/>
    </row>
    <row r="898" spans="1:10" ht="14.1" customHeight="1" thickBot="1" x14ac:dyDescent="0.25">
      <c r="A898" s="83"/>
      <c r="B898" s="62" t="s">
        <v>1786</v>
      </c>
      <c r="C898" s="60">
        <f>IF(C897="","",IF(AND(MONTH(C897)&gt;=1,MONTH(C897)&lt;=3),1,IF(AND(MONTH(C897)&gt;=4,MONTH(C897)&lt;=6),2,IF(AND(MONTH(C897)&gt;=7,MONTH(C897)&lt;=9),3,4))))</f>
        <v>3</v>
      </c>
      <c r="D898" s="83"/>
      <c r="E898" s="62" t="s">
        <v>13192</v>
      </c>
      <c r="F898" s="61" t="s">
        <v>11112</v>
      </c>
      <c r="G898" s="5"/>
      <c r="H898" s="5"/>
      <c r="I898" s="5"/>
      <c r="J898" s="5"/>
    </row>
    <row r="899" spans="1:10" ht="14.1" customHeight="1" thickBot="1" x14ac:dyDescent="0.25">
      <c r="A899" s="5"/>
      <c r="B899" s="5"/>
      <c r="C899" s="5"/>
      <c r="D899" s="5"/>
      <c r="E899" s="5"/>
      <c r="F899" s="5"/>
      <c r="G899" s="5"/>
      <c r="H899" s="5"/>
      <c r="I899" s="5"/>
      <c r="J899" s="5"/>
    </row>
    <row r="900" spans="1:10" ht="14.1" customHeight="1" thickBot="1" x14ac:dyDescent="0.25">
      <c r="A900" s="67" t="s">
        <v>15735</v>
      </c>
      <c r="B900" s="67" t="s">
        <v>16146</v>
      </c>
      <c r="C900" s="67" t="s">
        <v>15641</v>
      </c>
      <c r="D900" s="67" t="s">
        <v>15251</v>
      </c>
      <c r="E900" s="67" t="s">
        <v>6932</v>
      </c>
      <c r="F900" s="67" t="s">
        <v>15280</v>
      </c>
      <c r="G900" s="5"/>
      <c r="H900" s="5"/>
      <c r="I900" s="5"/>
      <c r="J900" s="5"/>
    </row>
    <row r="901" spans="1:10" ht="13.5" customHeight="1" x14ac:dyDescent="0.2">
      <c r="A901" s="78">
        <v>39121002</v>
      </c>
      <c r="B901" s="64" t="str">
        <f t="shared" ref="B901:B913" ca="1" si="52">IFERROR(INDEX(UNSPSCDes,MATCH(INDIRECT(ADDRESS(ROW(),COLUMN()-1,4)),UNSPSCCode,0)),"")</f>
        <v>Transformadores de suministro de potencia</v>
      </c>
      <c r="C901" s="63" t="s">
        <v>1449</v>
      </c>
      <c r="D901" s="63">
        <v>20</v>
      </c>
      <c r="E901" s="66">
        <v>700</v>
      </c>
      <c r="F901" s="65">
        <f t="shared" ref="F901:F913" ca="1" si="53">INDIRECT(ADDRESS(ROW(),COLUMN()-2,4))*INDIRECT(ADDRESS(ROW(),COLUMN()-1,4))</f>
        <v>14000</v>
      </c>
      <c r="G901" s="5"/>
      <c r="H901" s="5"/>
      <c r="I901" s="5"/>
      <c r="J901" s="5"/>
    </row>
    <row r="902" spans="1:10" ht="13.5" customHeight="1" x14ac:dyDescent="0.2">
      <c r="A902" s="78">
        <v>32121501</v>
      </c>
      <c r="B902" s="64" t="str">
        <f t="shared" ca="1" si="52"/>
        <v>Capacitores fijos</v>
      </c>
      <c r="C902" s="63" t="s">
        <v>1449</v>
      </c>
      <c r="D902" s="63">
        <v>14</v>
      </c>
      <c r="E902" s="66">
        <v>500</v>
      </c>
      <c r="F902" s="65">
        <f t="shared" ca="1" si="53"/>
        <v>7000</v>
      </c>
      <c r="G902" s="5"/>
      <c r="H902" s="5"/>
      <c r="I902" s="5"/>
      <c r="J902" s="5"/>
    </row>
    <row r="903" spans="1:10" ht="13.5" customHeight="1" x14ac:dyDescent="0.2">
      <c r="A903" s="78">
        <v>32121705</v>
      </c>
      <c r="B903" s="64" t="str">
        <f t="shared" ca="1" si="52"/>
        <v>Inversores</v>
      </c>
      <c r="C903" s="63" t="s">
        <v>1449</v>
      </c>
      <c r="D903" s="63">
        <v>1</v>
      </c>
      <c r="E903" s="66">
        <v>18000</v>
      </c>
      <c r="F903" s="65">
        <f t="shared" ca="1" si="53"/>
        <v>18000</v>
      </c>
      <c r="G903" s="5"/>
      <c r="H903" s="5"/>
      <c r="I903" s="5"/>
      <c r="J903" s="5"/>
    </row>
    <row r="904" spans="1:10" ht="13.5" customHeight="1" x14ac:dyDescent="0.2">
      <c r="A904" s="78">
        <v>31162304</v>
      </c>
      <c r="B904" s="64" t="str">
        <f t="shared" ca="1" si="52"/>
        <v>Regletas de montaje</v>
      </c>
      <c r="C904" s="63" t="s">
        <v>1449</v>
      </c>
      <c r="D904" s="63">
        <v>6</v>
      </c>
      <c r="E904" s="66">
        <v>700</v>
      </c>
      <c r="F904" s="65">
        <f t="shared" ca="1" si="53"/>
        <v>4200</v>
      </c>
      <c r="G904" s="5"/>
      <c r="H904" s="5"/>
      <c r="I904" s="5"/>
      <c r="J904" s="5"/>
    </row>
    <row r="905" spans="1:10" ht="13.5" customHeight="1" x14ac:dyDescent="0.2">
      <c r="A905" s="78">
        <v>31162801</v>
      </c>
      <c r="B905" s="64" t="str">
        <f t="shared" ca="1" si="52"/>
        <v>Chapas o pomos</v>
      </c>
      <c r="C905" s="63" t="s">
        <v>1449</v>
      </c>
      <c r="D905" s="63">
        <v>3</v>
      </c>
      <c r="E905" s="66">
        <v>600</v>
      </c>
      <c r="F905" s="65">
        <f t="shared" ca="1" si="53"/>
        <v>1800</v>
      </c>
      <c r="G905" s="5"/>
      <c r="H905" s="5"/>
      <c r="I905" s="5"/>
      <c r="J905" s="5"/>
    </row>
    <row r="906" spans="1:10" ht="13.5" customHeight="1" x14ac:dyDescent="0.2">
      <c r="A906" s="78">
        <v>31162402</v>
      </c>
      <c r="B906" s="64" t="str">
        <f t="shared" ca="1" si="52"/>
        <v>Cerraduras</v>
      </c>
      <c r="C906" s="63" t="s">
        <v>1449</v>
      </c>
      <c r="D906" s="63">
        <v>3</v>
      </c>
      <c r="E906" s="66">
        <v>900</v>
      </c>
      <c r="F906" s="65">
        <f t="shared" ca="1" si="53"/>
        <v>2700</v>
      </c>
      <c r="G906" s="5"/>
      <c r="H906" s="5"/>
      <c r="I906" s="5"/>
      <c r="J906" s="5"/>
    </row>
    <row r="907" spans="1:10" ht="13.5" customHeight="1" x14ac:dyDescent="0.2">
      <c r="A907" s="78">
        <v>39101701</v>
      </c>
      <c r="B907" s="64" t="str">
        <f t="shared" ca="1" si="52"/>
        <v>Tubos fluorescentes</v>
      </c>
      <c r="C907" s="63" t="s">
        <v>16988</v>
      </c>
      <c r="D907" s="63">
        <v>17</v>
      </c>
      <c r="E907" s="66">
        <v>1500</v>
      </c>
      <c r="F907" s="65">
        <f t="shared" ca="1" si="53"/>
        <v>25500</v>
      </c>
      <c r="G907" s="5"/>
      <c r="H907" s="5"/>
      <c r="I907" s="5"/>
      <c r="J907" s="5"/>
    </row>
    <row r="908" spans="1:10" ht="13.5" customHeight="1" x14ac:dyDescent="0.2">
      <c r="A908" s="78">
        <v>39121601</v>
      </c>
      <c r="B908" s="64" t="str">
        <f t="shared" ca="1" si="52"/>
        <v>Breakers de circuito</v>
      </c>
      <c r="C908" s="63" t="s">
        <v>1449</v>
      </c>
      <c r="D908" s="63">
        <v>5</v>
      </c>
      <c r="E908" s="66">
        <v>160</v>
      </c>
      <c r="F908" s="65">
        <f t="shared" ca="1" si="53"/>
        <v>800</v>
      </c>
      <c r="G908" s="5"/>
      <c r="H908" s="5"/>
      <c r="I908" s="5"/>
      <c r="J908" s="5"/>
    </row>
    <row r="909" spans="1:10" ht="13.5" customHeight="1" x14ac:dyDescent="0.2">
      <c r="A909" s="78">
        <v>26111704</v>
      </c>
      <c r="B909" s="64" t="str">
        <f t="shared" ca="1" si="52"/>
        <v>Cargadores de baterías</v>
      </c>
      <c r="C909" s="63" t="s">
        <v>1449</v>
      </c>
      <c r="D909" s="63">
        <v>6</v>
      </c>
      <c r="E909" s="66">
        <v>2000</v>
      </c>
      <c r="F909" s="65">
        <f t="shared" ca="1" si="53"/>
        <v>12000</v>
      </c>
      <c r="G909" s="5"/>
      <c r="H909" s="5"/>
      <c r="I909" s="5"/>
      <c r="J909" s="5"/>
    </row>
    <row r="910" spans="1:10" ht="13.5" customHeight="1" x14ac:dyDescent="0.2">
      <c r="A910" s="78">
        <v>27111801</v>
      </c>
      <c r="B910" s="64" t="str">
        <f t="shared" ca="1" si="52"/>
        <v>Cintas métricas</v>
      </c>
      <c r="C910" s="63" t="s">
        <v>1449</v>
      </c>
      <c r="D910" s="63">
        <v>3</v>
      </c>
      <c r="E910" s="66">
        <v>300</v>
      </c>
      <c r="F910" s="65">
        <f t="shared" ca="1" si="53"/>
        <v>900</v>
      </c>
      <c r="G910" s="5"/>
      <c r="H910" s="5"/>
      <c r="I910" s="5"/>
      <c r="J910" s="5"/>
    </row>
    <row r="911" spans="1:10" ht="13.5" customHeight="1" x14ac:dyDescent="0.2">
      <c r="A911" s="78">
        <v>27111509</v>
      </c>
      <c r="B911" s="64" t="str">
        <f t="shared" ca="1" si="52"/>
        <v>Barrenas</v>
      </c>
      <c r="C911" s="63" t="s">
        <v>1449</v>
      </c>
      <c r="D911" s="63">
        <v>5</v>
      </c>
      <c r="E911" s="66">
        <v>100</v>
      </c>
      <c r="F911" s="65">
        <f t="shared" ca="1" si="53"/>
        <v>500</v>
      </c>
      <c r="G911" s="5"/>
      <c r="H911" s="5"/>
      <c r="I911" s="5"/>
      <c r="J911" s="5"/>
    </row>
    <row r="912" spans="1:10" ht="13.5" customHeight="1" x14ac:dyDescent="0.2">
      <c r="A912" s="78">
        <v>31161501</v>
      </c>
      <c r="B912" s="64" t="str">
        <f t="shared" ca="1" si="52"/>
        <v>Tornillos de perno</v>
      </c>
      <c r="C912" s="63" t="s">
        <v>16988</v>
      </c>
      <c r="D912" s="63">
        <v>6</v>
      </c>
      <c r="E912" s="66">
        <v>100</v>
      </c>
      <c r="F912" s="65">
        <f t="shared" ca="1" si="53"/>
        <v>600</v>
      </c>
      <c r="G912" s="5"/>
      <c r="H912" s="5"/>
      <c r="I912" s="5"/>
      <c r="J912" s="5"/>
    </row>
    <row r="913" spans="1:10" ht="13.5" customHeight="1" x14ac:dyDescent="0.2">
      <c r="A913" s="78">
        <v>40151501</v>
      </c>
      <c r="B913" s="64" t="str">
        <f t="shared" ca="1" si="52"/>
        <v>Bombas de aire</v>
      </c>
      <c r="C913" s="63" t="s">
        <v>1449</v>
      </c>
      <c r="D913" s="63">
        <v>8</v>
      </c>
      <c r="E913" s="66">
        <v>1500</v>
      </c>
      <c r="F913" s="65">
        <f t="shared" ca="1" si="53"/>
        <v>12000</v>
      </c>
      <c r="G913" s="5"/>
      <c r="H913" s="5"/>
      <c r="I913" s="5"/>
      <c r="J913" s="5"/>
    </row>
    <row r="914" spans="1:10" ht="14.1" customHeight="1" x14ac:dyDescent="0.2">
      <c r="A914" s="5"/>
      <c r="B914" s="5"/>
      <c r="C914" s="5"/>
      <c r="D914" s="5"/>
      <c r="E914" s="68" t="s">
        <v>12550</v>
      </c>
      <c r="F914" s="69">
        <f ca="1">SUM(Table349[MONTO TOTAL ESTIMADO])</f>
        <v>100000</v>
      </c>
      <c r="G914" s="5"/>
      <c r="H914" s="5" t="str">
        <f>C894</f>
        <v>Bienes</v>
      </c>
      <c r="I914" s="5" t="str">
        <f>E894</f>
        <v>Sí</v>
      </c>
      <c r="J914" s="5" t="str">
        <f>D894</f>
        <v>Compras por debajo del Umbral</v>
      </c>
    </row>
    <row r="915" spans="1:10" ht="14.1" customHeight="1" thickBot="1" x14ac:dyDescent="0.3"/>
    <row r="916" spans="1:10" ht="33.75" customHeight="1" thickBot="1" x14ac:dyDescent="0.25">
      <c r="A916" s="59" t="s">
        <v>16382</v>
      </c>
      <c r="B916" s="59" t="s">
        <v>161</v>
      </c>
      <c r="C916" s="59" t="s">
        <v>11724</v>
      </c>
      <c r="D916" s="59" t="s">
        <v>14378</v>
      </c>
      <c r="E916" s="59" t="s">
        <v>10962</v>
      </c>
      <c r="F916" s="59" t="s">
        <v>11095</v>
      </c>
      <c r="G916" s="5"/>
      <c r="H916" s="5"/>
      <c r="I916" s="5"/>
      <c r="J916" s="5"/>
    </row>
    <row r="917" spans="1:10" ht="13.5" customHeight="1" thickBot="1" x14ac:dyDescent="0.25">
      <c r="A917" s="77" t="s">
        <v>18856</v>
      </c>
      <c r="B917" s="77" t="s">
        <v>18857</v>
      </c>
      <c r="C917" s="61" t="s">
        <v>17797</v>
      </c>
      <c r="D917" s="61" t="s">
        <v>10171</v>
      </c>
      <c r="E917" s="61" t="s">
        <v>8854</v>
      </c>
      <c r="F917" s="61"/>
      <c r="G917" s="5"/>
      <c r="H917" s="5"/>
      <c r="I917" s="5"/>
      <c r="J917" s="5"/>
    </row>
    <row r="918" spans="1:10" ht="14.1" customHeight="1" thickBot="1" x14ac:dyDescent="0.25">
      <c r="A918" s="82" t="s">
        <v>14828</v>
      </c>
      <c r="B918" s="62" t="s">
        <v>8528</v>
      </c>
      <c r="C918" s="71">
        <v>44105</v>
      </c>
      <c r="D918" s="82" t="s">
        <v>9385</v>
      </c>
      <c r="E918" s="62" t="s">
        <v>13093</v>
      </c>
      <c r="F918" s="61" t="s">
        <v>3080</v>
      </c>
      <c r="G918" s="5"/>
      <c r="H918" s="5"/>
      <c r="I918" s="5"/>
      <c r="J918" s="5"/>
    </row>
    <row r="919" spans="1:10" ht="14.1" customHeight="1" thickBot="1" x14ac:dyDescent="0.25">
      <c r="A919" s="83"/>
      <c r="B919" s="62" t="s">
        <v>1786</v>
      </c>
      <c r="C919" s="60">
        <f>IF(C918="","",IF(AND(MONTH(C918)&gt;=1,MONTH(C918)&lt;=3),1,IF(AND(MONTH(C918)&gt;=4,MONTH(C918)&lt;=6),2,IF(AND(MONTH(C918)&gt;=7,MONTH(C918)&lt;=9),3,4))))</f>
        <v>4</v>
      </c>
      <c r="D919" s="83"/>
      <c r="E919" s="62" t="s">
        <v>2417</v>
      </c>
      <c r="F919" s="61" t="s">
        <v>11112</v>
      </c>
      <c r="G919" s="5"/>
      <c r="H919" s="5"/>
      <c r="I919" s="5"/>
      <c r="J919" s="5"/>
    </row>
    <row r="920" spans="1:10" ht="14.1" customHeight="1" thickBot="1" x14ac:dyDescent="0.25">
      <c r="A920" s="83"/>
      <c r="B920" s="62" t="s">
        <v>12942</v>
      </c>
      <c r="C920" s="71">
        <v>44196</v>
      </c>
      <c r="D920" s="83"/>
      <c r="E920" s="62" t="s">
        <v>3073</v>
      </c>
      <c r="F920" s="61" t="s">
        <v>11112</v>
      </c>
      <c r="G920" s="5"/>
      <c r="H920" s="5"/>
      <c r="I920" s="5"/>
      <c r="J920" s="5"/>
    </row>
    <row r="921" spans="1:10" ht="14.1" customHeight="1" thickBot="1" x14ac:dyDescent="0.25">
      <c r="A921" s="83"/>
      <c r="B921" s="62" t="s">
        <v>1786</v>
      </c>
      <c r="C921" s="60">
        <f>IF(C920="","",IF(AND(MONTH(C920)&gt;=1,MONTH(C920)&lt;=3),1,IF(AND(MONTH(C920)&gt;=4,MONTH(C920)&lt;=6),2,IF(AND(MONTH(C920)&gt;=7,MONTH(C920)&lt;=9),3,4))))</f>
        <v>4</v>
      </c>
      <c r="D921" s="83"/>
      <c r="E921" s="62" t="s">
        <v>13192</v>
      </c>
      <c r="F921" s="61" t="s">
        <v>11112</v>
      </c>
      <c r="G921" s="5"/>
      <c r="H921" s="5"/>
      <c r="I921" s="5"/>
      <c r="J921" s="5"/>
    </row>
    <row r="922" spans="1:10" ht="14.1" customHeight="1" thickBot="1" x14ac:dyDescent="0.25">
      <c r="A922" s="5"/>
      <c r="B922" s="5"/>
      <c r="C922" s="5"/>
      <c r="D922" s="5"/>
      <c r="E922" s="5"/>
      <c r="F922" s="5"/>
      <c r="G922" s="5"/>
      <c r="H922" s="5"/>
      <c r="I922" s="5"/>
      <c r="J922" s="5"/>
    </row>
    <row r="923" spans="1:10" ht="14.1" customHeight="1" thickBot="1" x14ac:dyDescent="0.25">
      <c r="A923" s="67" t="s">
        <v>15735</v>
      </c>
      <c r="B923" s="67" t="s">
        <v>16146</v>
      </c>
      <c r="C923" s="67" t="s">
        <v>15641</v>
      </c>
      <c r="D923" s="67" t="s">
        <v>15251</v>
      </c>
      <c r="E923" s="67" t="s">
        <v>6932</v>
      </c>
      <c r="F923" s="67" t="s">
        <v>15280</v>
      </c>
      <c r="G923" s="5"/>
      <c r="H923" s="5"/>
      <c r="I923" s="5"/>
      <c r="J923" s="5"/>
    </row>
    <row r="924" spans="1:10" ht="13.5" customHeight="1" x14ac:dyDescent="0.2">
      <c r="A924" s="78">
        <v>39121002</v>
      </c>
      <c r="B924" s="64" t="str">
        <f t="shared" ref="B924:B936" ca="1" si="54">IFERROR(INDEX(UNSPSCDes,MATCH(INDIRECT(ADDRESS(ROW(),COLUMN()-1,4)),UNSPSCCode,0)),"")</f>
        <v>Transformadores de suministro de potencia</v>
      </c>
      <c r="C924" s="63" t="s">
        <v>1449</v>
      </c>
      <c r="D924" s="63">
        <v>20</v>
      </c>
      <c r="E924" s="66">
        <v>700</v>
      </c>
      <c r="F924" s="65">
        <f t="shared" ref="F924:F936" ca="1" si="55">INDIRECT(ADDRESS(ROW(),COLUMN()-2,4))*INDIRECT(ADDRESS(ROW(),COLUMN()-1,4))</f>
        <v>14000</v>
      </c>
      <c r="G924" s="5"/>
      <c r="H924" s="5"/>
      <c r="I924" s="5"/>
      <c r="J924" s="5"/>
    </row>
    <row r="925" spans="1:10" ht="13.5" customHeight="1" x14ac:dyDescent="0.2">
      <c r="A925" s="78">
        <v>32121501</v>
      </c>
      <c r="B925" s="64" t="str">
        <f t="shared" ca="1" si="54"/>
        <v>Capacitores fijos</v>
      </c>
      <c r="C925" s="63" t="s">
        <v>1449</v>
      </c>
      <c r="D925" s="63">
        <v>15</v>
      </c>
      <c r="E925" s="66">
        <v>500</v>
      </c>
      <c r="F925" s="65">
        <f t="shared" ca="1" si="55"/>
        <v>7500</v>
      </c>
      <c r="G925" s="5"/>
      <c r="H925" s="5"/>
      <c r="I925" s="5"/>
      <c r="J925" s="5"/>
    </row>
    <row r="926" spans="1:10" ht="13.5" customHeight="1" x14ac:dyDescent="0.2">
      <c r="A926" s="78">
        <v>32121705</v>
      </c>
      <c r="B926" s="64" t="str">
        <f t="shared" ca="1" si="54"/>
        <v>Inversores</v>
      </c>
      <c r="C926" s="63" t="s">
        <v>1449</v>
      </c>
      <c r="D926" s="63">
        <v>1</v>
      </c>
      <c r="E926" s="66">
        <v>18000</v>
      </c>
      <c r="F926" s="65">
        <f t="shared" ca="1" si="55"/>
        <v>18000</v>
      </c>
      <c r="G926" s="5"/>
      <c r="H926" s="5"/>
      <c r="I926" s="5"/>
      <c r="J926" s="5"/>
    </row>
    <row r="927" spans="1:10" ht="13.5" customHeight="1" x14ac:dyDescent="0.2">
      <c r="A927" s="78">
        <v>31162304</v>
      </c>
      <c r="B927" s="64" t="str">
        <f t="shared" ca="1" si="54"/>
        <v>Regletas de montaje</v>
      </c>
      <c r="C927" s="63" t="s">
        <v>1449</v>
      </c>
      <c r="D927" s="63">
        <v>5</v>
      </c>
      <c r="E927" s="66">
        <v>700</v>
      </c>
      <c r="F927" s="65">
        <f t="shared" ca="1" si="55"/>
        <v>3500</v>
      </c>
      <c r="G927" s="5"/>
      <c r="H927" s="5"/>
      <c r="I927" s="5"/>
      <c r="J927" s="5"/>
    </row>
    <row r="928" spans="1:10" ht="13.5" customHeight="1" x14ac:dyDescent="0.2">
      <c r="A928" s="78">
        <v>31162801</v>
      </c>
      <c r="B928" s="64" t="str">
        <f t="shared" ca="1" si="54"/>
        <v>Chapas o pomos</v>
      </c>
      <c r="C928" s="63" t="s">
        <v>1449</v>
      </c>
      <c r="D928" s="63">
        <v>4</v>
      </c>
      <c r="E928" s="66">
        <v>600</v>
      </c>
      <c r="F928" s="65">
        <f t="shared" ca="1" si="55"/>
        <v>2400</v>
      </c>
      <c r="G928" s="5"/>
      <c r="H928" s="5"/>
      <c r="I928" s="5"/>
      <c r="J928" s="5"/>
    </row>
    <row r="929" spans="1:10" ht="13.5" customHeight="1" x14ac:dyDescent="0.2">
      <c r="A929" s="78">
        <v>31162402</v>
      </c>
      <c r="B929" s="64" t="str">
        <f t="shared" ca="1" si="54"/>
        <v>Cerraduras</v>
      </c>
      <c r="C929" s="63" t="s">
        <v>1449</v>
      </c>
      <c r="D929" s="63">
        <v>4</v>
      </c>
      <c r="E929" s="66">
        <v>900</v>
      </c>
      <c r="F929" s="65">
        <f t="shared" ca="1" si="55"/>
        <v>3600</v>
      </c>
      <c r="G929" s="5"/>
      <c r="H929" s="5"/>
      <c r="I929" s="5"/>
      <c r="J929" s="5"/>
    </row>
    <row r="930" spans="1:10" ht="13.5" customHeight="1" x14ac:dyDescent="0.2">
      <c r="A930" s="78">
        <v>39101701</v>
      </c>
      <c r="B930" s="64" t="str">
        <f t="shared" ca="1" si="54"/>
        <v>Tubos fluorescentes</v>
      </c>
      <c r="C930" s="63" t="s">
        <v>16988</v>
      </c>
      <c r="D930" s="63">
        <v>15</v>
      </c>
      <c r="E930" s="66">
        <v>1500</v>
      </c>
      <c r="F930" s="65">
        <f t="shared" ca="1" si="55"/>
        <v>22500</v>
      </c>
      <c r="G930" s="5"/>
      <c r="H930" s="5"/>
      <c r="I930" s="5"/>
      <c r="J930" s="5"/>
    </row>
    <row r="931" spans="1:10" ht="13.5" customHeight="1" x14ac:dyDescent="0.2">
      <c r="A931" s="78">
        <v>39121601</v>
      </c>
      <c r="B931" s="64" t="str">
        <f t="shared" ca="1" si="54"/>
        <v>Breakers de circuito</v>
      </c>
      <c r="C931" s="63" t="s">
        <v>1449</v>
      </c>
      <c r="D931" s="63">
        <v>5</v>
      </c>
      <c r="E931" s="66">
        <v>160</v>
      </c>
      <c r="F931" s="65">
        <f t="shared" ca="1" si="55"/>
        <v>800</v>
      </c>
      <c r="G931" s="5"/>
      <c r="H931" s="5"/>
      <c r="I931" s="5"/>
      <c r="J931" s="5"/>
    </row>
    <row r="932" spans="1:10" ht="13.5" customHeight="1" x14ac:dyDescent="0.2">
      <c r="A932" s="78">
        <v>26111704</v>
      </c>
      <c r="B932" s="64" t="str">
        <f t="shared" ca="1" si="54"/>
        <v>Cargadores de baterías</v>
      </c>
      <c r="C932" s="63" t="s">
        <v>1449</v>
      </c>
      <c r="D932" s="63">
        <v>7</v>
      </c>
      <c r="E932" s="66">
        <v>2000</v>
      </c>
      <c r="F932" s="65">
        <f t="shared" ca="1" si="55"/>
        <v>14000</v>
      </c>
      <c r="G932" s="5"/>
      <c r="H932" s="5"/>
      <c r="I932" s="5"/>
      <c r="J932" s="5"/>
    </row>
    <row r="933" spans="1:10" ht="13.5" customHeight="1" x14ac:dyDescent="0.2">
      <c r="A933" s="78">
        <v>27111801</v>
      </c>
      <c r="B933" s="64" t="str">
        <f t="shared" ca="1" si="54"/>
        <v>Cintas métricas</v>
      </c>
      <c r="C933" s="63" t="s">
        <v>1449</v>
      </c>
      <c r="D933" s="63">
        <v>2</v>
      </c>
      <c r="E933" s="66">
        <v>300</v>
      </c>
      <c r="F933" s="65">
        <f t="shared" ca="1" si="55"/>
        <v>600</v>
      </c>
      <c r="G933" s="5"/>
      <c r="H933" s="5"/>
      <c r="I933" s="5"/>
      <c r="J933" s="5"/>
    </row>
    <row r="934" spans="1:10" ht="13.5" customHeight="1" x14ac:dyDescent="0.2">
      <c r="A934" s="78">
        <v>27111509</v>
      </c>
      <c r="B934" s="64" t="str">
        <f t="shared" ca="1" si="54"/>
        <v>Barrenas</v>
      </c>
      <c r="C934" s="63" t="s">
        <v>1449</v>
      </c>
      <c r="D934" s="63">
        <v>5</v>
      </c>
      <c r="E934" s="66">
        <v>100</v>
      </c>
      <c r="F934" s="65">
        <f t="shared" ca="1" si="55"/>
        <v>500</v>
      </c>
      <c r="G934" s="5"/>
      <c r="H934" s="5"/>
      <c r="I934" s="5"/>
      <c r="J934" s="5"/>
    </row>
    <row r="935" spans="1:10" ht="13.5" customHeight="1" x14ac:dyDescent="0.2">
      <c r="A935" s="78">
        <v>31161501</v>
      </c>
      <c r="B935" s="64" t="str">
        <f t="shared" ca="1" si="54"/>
        <v>Tornillos de perno</v>
      </c>
      <c r="C935" s="63" t="s">
        <v>16988</v>
      </c>
      <c r="D935" s="63">
        <v>6</v>
      </c>
      <c r="E935" s="66">
        <v>100</v>
      </c>
      <c r="F935" s="65">
        <f t="shared" ca="1" si="55"/>
        <v>600</v>
      </c>
      <c r="G935" s="5"/>
      <c r="H935" s="5"/>
      <c r="I935" s="5"/>
      <c r="J935" s="5"/>
    </row>
    <row r="936" spans="1:10" ht="13.5" customHeight="1" x14ac:dyDescent="0.2">
      <c r="A936" s="78">
        <v>40151501</v>
      </c>
      <c r="B936" s="64" t="str">
        <f t="shared" ca="1" si="54"/>
        <v>Bombas de aire</v>
      </c>
      <c r="C936" s="63" t="s">
        <v>1449</v>
      </c>
      <c r="D936" s="63">
        <v>8</v>
      </c>
      <c r="E936" s="66">
        <v>1500</v>
      </c>
      <c r="F936" s="65">
        <f t="shared" ca="1" si="55"/>
        <v>12000</v>
      </c>
      <c r="G936" s="5"/>
      <c r="H936" s="5"/>
      <c r="I936" s="5"/>
      <c r="J936" s="5"/>
    </row>
    <row r="937" spans="1:10" ht="14.1" customHeight="1" x14ac:dyDescent="0.2">
      <c r="A937" s="5"/>
      <c r="B937" s="5"/>
      <c r="C937" s="5"/>
      <c r="D937" s="5"/>
      <c r="E937" s="68" t="s">
        <v>12550</v>
      </c>
      <c r="F937" s="69">
        <f ca="1">SUM(Table350[MONTO TOTAL ESTIMADO])</f>
        <v>100000</v>
      </c>
      <c r="G937" s="5"/>
      <c r="H937" s="5" t="str">
        <f>C917</f>
        <v>Bienes</v>
      </c>
      <c r="I937" s="5" t="str">
        <f>E917</f>
        <v>Sí</v>
      </c>
      <c r="J937" s="5" t="str">
        <f>D917</f>
        <v>Compras por debajo del Umbral</v>
      </c>
    </row>
    <row r="938" spans="1:10" ht="14.1" customHeight="1" thickBot="1" x14ac:dyDescent="0.3"/>
    <row r="939" spans="1:10" ht="33.75" customHeight="1" thickBot="1" x14ac:dyDescent="0.25">
      <c r="A939" s="59" t="s">
        <v>16382</v>
      </c>
      <c r="B939" s="59" t="s">
        <v>161</v>
      </c>
      <c r="C939" s="59" t="s">
        <v>11724</v>
      </c>
      <c r="D939" s="59" t="s">
        <v>14378</v>
      </c>
      <c r="E939" s="59" t="s">
        <v>10962</v>
      </c>
      <c r="F939" s="59" t="s">
        <v>11095</v>
      </c>
      <c r="G939" s="5"/>
      <c r="H939" s="5"/>
      <c r="I939" s="5"/>
      <c r="J939" s="5"/>
    </row>
    <row r="940" spans="1:10" ht="13.5" customHeight="1" thickBot="1" x14ac:dyDescent="0.25">
      <c r="A940" s="77" t="s">
        <v>18858</v>
      </c>
      <c r="B940" s="77" t="s">
        <v>18859</v>
      </c>
      <c r="C940" s="61" t="s">
        <v>17797</v>
      </c>
      <c r="D940" s="61" t="s">
        <v>10171</v>
      </c>
      <c r="E940" s="61" t="s">
        <v>8854</v>
      </c>
      <c r="F940" s="61"/>
      <c r="G940" s="5"/>
      <c r="H940" s="5"/>
      <c r="I940" s="5"/>
      <c r="J940" s="5"/>
    </row>
    <row r="941" spans="1:10" ht="14.1" customHeight="1" thickBot="1" x14ac:dyDescent="0.25">
      <c r="A941" s="82" t="s">
        <v>14828</v>
      </c>
      <c r="B941" s="62" t="s">
        <v>8528</v>
      </c>
      <c r="C941" s="71">
        <v>43831</v>
      </c>
      <c r="D941" s="82" t="s">
        <v>9385</v>
      </c>
      <c r="E941" s="62" t="s">
        <v>13093</v>
      </c>
      <c r="F941" s="61" t="s">
        <v>3080</v>
      </c>
      <c r="G941" s="5"/>
      <c r="H941" s="5"/>
      <c r="I941" s="5"/>
      <c r="J941" s="5"/>
    </row>
    <row r="942" spans="1:10" ht="14.1" customHeight="1" thickBot="1" x14ac:dyDescent="0.25">
      <c r="A942" s="83"/>
      <c r="B942" s="62" t="s">
        <v>1786</v>
      </c>
      <c r="C942" s="60">
        <f>IF(C941="","",IF(AND(MONTH(C941)&gt;=1,MONTH(C941)&lt;=3),1,IF(AND(MONTH(C941)&gt;=4,MONTH(C941)&lt;=6),2,IF(AND(MONTH(C941)&gt;=7,MONTH(C941)&lt;=9),3,4))))</f>
        <v>1</v>
      </c>
      <c r="D942" s="83"/>
      <c r="E942" s="62" t="s">
        <v>2417</v>
      </c>
      <c r="F942" s="61" t="s">
        <v>11112</v>
      </c>
      <c r="G942" s="5"/>
      <c r="H942" s="5"/>
      <c r="I942" s="5"/>
      <c r="J942" s="5"/>
    </row>
    <row r="943" spans="1:10" ht="14.1" customHeight="1" thickBot="1" x14ac:dyDescent="0.25">
      <c r="A943" s="83"/>
      <c r="B943" s="62" t="s">
        <v>12942</v>
      </c>
      <c r="C943" s="71">
        <v>43921</v>
      </c>
      <c r="D943" s="83"/>
      <c r="E943" s="62" t="s">
        <v>3073</v>
      </c>
      <c r="F943" s="61" t="s">
        <v>11112</v>
      </c>
      <c r="G943" s="5"/>
      <c r="H943" s="5"/>
      <c r="I943" s="5"/>
      <c r="J943" s="5"/>
    </row>
    <row r="944" spans="1:10" ht="14.1" customHeight="1" thickBot="1" x14ac:dyDescent="0.25">
      <c r="A944" s="83"/>
      <c r="B944" s="62" t="s">
        <v>1786</v>
      </c>
      <c r="C944" s="60">
        <f>IF(C943="","",IF(AND(MONTH(C943)&gt;=1,MONTH(C943)&lt;=3),1,IF(AND(MONTH(C943)&gt;=4,MONTH(C943)&lt;=6),2,IF(AND(MONTH(C943)&gt;=7,MONTH(C943)&lt;=9),3,4))))</f>
        <v>1</v>
      </c>
      <c r="D944" s="83"/>
      <c r="E944" s="62" t="s">
        <v>13192</v>
      </c>
      <c r="F944" s="61" t="s">
        <v>11112</v>
      </c>
      <c r="G944" s="5"/>
      <c r="H944" s="5"/>
      <c r="I944" s="5"/>
      <c r="J944" s="5"/>
    </row>
    <row r="945" spans="1:10" ht="14.1" customHeight="1" thickBot="1" x14ac:dyDescent="0.25">
      <c r="A945" s="5"/>
      <c r="B945" s="5"/>
      <c r="C945" s="5"/>
      <c r="D945" s="5"/>
      <c r="E945" s="5"/>
      <c r="F945" s="5"/>
      <c r="G945" s="5"/>
      <c r="H945" s="5"/>
      <c r="I945" s="5"/>
      <c r="J945" s="5"/>
    </row>
    <row r="946" spans="1:10" ht="14.1" customHeight="1" thickBot="1" x14ac:dyDescent="0.25">
      <c r="A946" s="67" t="s">
        <v>15735</v>
      </c>
      <c r="B946" s="67" t="s">
        <v>16146</v>
      </c>
      <c r="C946" s="67" t="s">
        <v>15641</v>
      </c>
      <c r="D946" s="67" t="s">
        <v>15251</v>
      </c>
      <c r="E946" s="67" t="s">
        <v>6932</v>
      </c>
      <c r="F946" s="67" t="s">
        <v>15280</v>
      </c>
      <c r="G946" s="5"/>
      <c r="H946" s="5"/>
      <c r="I946" s="5"/>
      <c r="J946" s="5"/>
    </row>
    <row r="947" spans="1:10" ht="13.5" customHeight="1" x14ac:dyDescent="0.2">
      <c r="A947" s="78">
        <v>56101532</v>
      </c>
      <c r="B947" s="64" t="str">
        <f t="shared" ref="B947:B952" ca="1" si="56">IFERROR(INDEX(UNSPSCDes,MATCH(INDIRECT(ADDRESS(ROW(),COLUMN()-1,4)),UNSPSCCode,0)),"")</f>
        <v>Set de muebles</v>
      </c>
      <c r="C947" s="63" t="s">
        <v>1449</v>
      </c>
      <c r="D947" s="63">
        <v>1</v>
      </c>
      <c r="E947" s="66">
        <v>16000</v>
      </c>
      <c r="F947" s="65">
        <f t="shared" ref="F947:F952" ca="1" si="57">INDIRECT(ADDRESS(ROW(),COLUMN()-2,4))*INDIRECT(ADDRESS(ROW(),COLUMN()-1,4))</f>
        <v>16000</v>
      </c>
      <c r="G947" s="5"/>
      <c r="H947" s="5"/>
      <c r="I947" s="5"/>
      <c r="J947" s="5"/>
    </row>
    <row r="948" spans="1:10" ht="13.5" customHeight="1" x14ac:dyDescent="0.2">
      <c r="A948" s="78">
        <v>56112104</v>
      </c>
      <c r="B948" s="64" t="str">
        <f t="shared" ca="1" si="56"/>
        <v>Sillas para ejecutivos</v>
      </c>
      <c r="C948" s="63" t="s">
        <v>1449</v>
      </c>
      <c r="D948" s="63">
        <v>4</v>
      </c>
      <c r="E948" s="66">
        <v>5000</v>
      </c>
      <c r="F948" s="65">
        <f t="shared" ca="1" si="57"/>
        <v>20000</v>
      </c>
      <c r="G948" s="5"/>
      <c r="H948" s="5"/>
      <c r="I948" s="5"/>
      <c r="J948" s="5"/>
    </row>
    <row r="949" spans="1:10" ht="13.5" customHeight="1" x14ac:dyDescent="0.2">
      <c r="A949" s="78">
        <v>56101702</v>
      </c>
      <c r="B949" s="64" t="str">
        <f t="shared" ca="1" si="56"/>
        <v>Gabinetes de archivo o accesorios</v>
      </c>
      <c r="C949" s="63" t="s">
        <v>1449</v>
      </c>
      <c r="D949" s="63">
        <v>6</v>
      </c>
      <c r="E949" s="66">
        <v>5000</v>
      </c>
      <c r="F949" s="65">
        <f t="shared" ca="1" si="57"/>
        <v>30000</v>
      </c>
      <c r="G949" s="5"/>
      <c r="H949" s="5"/>
      <c r="I949" s="5"/>
      <c r="J949" s="5"/>
    </row>
    <row r="950" spans="1:10" ht="13.5" customHeight="1" x14ac:dyDescent="0.2">
      <c r="A950" s="78">
        <v>56101708</v>
      </c>
      <c r="B950" s="64" t="str">
        <f t="shared" ca="1" si="56"/>
        <v>Archivadores móviles</v>
      </c>
      <c r="C950" s="63" t="s">
        <v>1449</v>
      </c>
      <c r="D950" s="63">
        <v>3</v>
      </c>
      <c r="E950" s="66">
        <v>4000</v>
      </c>
      <c r="F950" s="65">
        <f t="shared" ca="1" si="57"/>
        <v>12000</v>
      </c>
      <c r="G950" s="5"/>
      <c r="H950" s="5"/>
      <c r="I950" s="5"/>
      <c r="J950" s="5"/>
    </row>
    <row r="951" spans="1:10" ht="13.5" customHeight="1" x14ac:dyDescent="0.2">
      <c r="A951" s="78">
        <v>56101703</v>
      </c>
      <c r="B951" s="64" t="str">
        <f t="shared" ca="1" si="56"/>
        <v>Escritorios</v>
      </c>
      <c r="C951" s="63" t="s">
        <v>1449</v>
      </c>
      <c r="D951" s="63">
        <v>2</v>
      </c>
      <c r="E951" s="66">
        <v>10000</v>
      </c>
      <c r="F951" s="65">
        <f t="shared" ca="1" si="57"/>
        <v>20000</v>
      </c>
      <c r="G951" s="5"/>
      <c r="H951" s="5"/>
      <c r="I951" s="5"/>
      <c r="J951" s="5"/>
    </row>
    <row r="952" spans="1:10" ht="13.5" customHeight="1" x14ac:dyDescent="0.2">
      <c r="A952" s="78">
        <v>56112103</v>
      </c>
      <c r="B952" s="64" t="str">
        <f t="shared" ca="1" si="56"/>
        <v>Sillas para visitantes</v>
      </c>
      <c r="C952" s="63" t="s">
        <v>1449</v>
      </c>
      <c r="D952" s="63">
        <v>2</v>
      </c>
      <c r="E952" s="66">
        <v>2250</v>
      </c>
      <c r="F952" s="65">
        <f t="shared" ca="1" si="57"/>
        <v>4500</v>
      </c>
      <c r="G952" s="5"/>
      <c r="H952" s="5"/>
      <c r="I952" s="5"/>
      <c r="J952" s="5"/>
    </row>
    <row r="953" spans="1:10" ht="14.1" customHeight="1" x14ac:dyDescent="0.2">
      <c r="A953" s="5"/>
      <c r="B953" s="5"/>
      <c r="C953" s="5"/>
      <c r="D953" s="5"/>
      <c r="E953" s="68" t="s">
        <v>12550</v>
      </c>
      <c r="F953" s="69">
        <f ca="1">SUM(Table351[MONTO TOTAL ESTIMADO])</f>
        <v>102500</v>
      </c>
      <c r="G953" s="5"/>
      <c r="H953" s="5" t="str">
        <f>C940</f>
        <v>Bienes</v>
      </c>
      <c r="I953" s="5" t="str">
        <f>E940</f>
        <v>Sí</v>
      </c>
      <c r="J953" s="5" t="str">
        <f>D940</f>
        <v>Compras por debajo del Umbral</v>
      </c>
    </row>
    <row r="954" spans="1:10" ht="14.1" customHeight="1" thickBot="1" x14ac:dyDescent="0.3"/>
    <row r="955" spans="1:10" ht="33.75" customHeight="1" thickBot="1" x14ac:dyDescent="0.25">
      <c r="A955" s="59" t="s">
        <v>16382</v>
      </c>
      <c r="B955" s="59" t="s">
        <v>161</v>
      </c>
      <c r="C955" s="59" t="s">
        <v>11724</v>
      </c>
      <c r="D955" s="59" t="s">
        <v>14378</v>
      </c>
      <c r="E955" s="59" t="s">
        <v>10962</v>
      </c>
      <c r="F955" s="59" t="s">
        <v>11095</v>
      </c>
      <c r="G955" s="5"/>
      <c r="H955" s="5"/>
      <c r="I955" s="5"/>
      <c r="J955" s="5"/>
    </row>
    <row r="956" spans="1:10" ht="13.5" customHeight="1" thickBot="1" x14ac:dyDescent="0.25">
      <c r="A956" s="77" t="s">
        <v>18858</v>
      </c>
      <c r="B956" s="77" t="s">
        <v>18859</v>
      </c>
      <c r="C956" s="61" t="s">
        <v>17797</v>
      </c>
      <c r="D956" s="61" t="s">
        <v>10171</v>
      </c>
      <c r="E956" s="61" t="s">
        <v>8854</v>
      </c>
      <c r="F956" s="61"/>
      <c r="G956" s="5"/>
      <c r="H956" s="5"/>
      <c r="I956" s="5"/>
      <c r="J956" s="5"/>
    </row>
    <row r="957" spans="1:10" ht="14.1" customHeight="1" thickBot="1" x14ac:dyDescent="0.25">
      <c r="A957" s="82" t="s">
        <v>14828</v>
      </c>
      <c r="B957" s="62" t="s">
        <v>8528</v>
      </c>
      <c r="C957" s="71">
        <v>43922</v>
      </c>
      <c r="D957" s="82" t="s">
        <v>9385</v>
      </c>
      <c r="E957" s="62" t="s">
        <v>13093</v>
      </c>
      <c r="F957" s="61" t="s">
        <v>3080</v>
      </c>
      <c r="G957" s="5"/>
      <c r="H957" s="5"/>
      <c r="I957" s="5"/>
      <c r="J957" s="5"/>
    </row>
    <row r="958" spans="1:10" ht="14.1" customHeight="1" thickBot="1" x14ac:dyDescent="0.25">
      <c r="A958" s="83"/>
      <c r="B958" s="62" t="s">
        <v>1786</v>
      </c>
      <c r="C958" s="60">
        <f>IF(C957="","",IF(AND(MONTH(C957)&gt;=1,MONTH(C957)&lt;=3),1,IF(AND(MONTH(C957)&gt;=4,MONTH(C957)&lt;=6),2,IF(AND(MONTH(C957)&gt;=7,MONTH(C957)&lt;=9),3,4))))</f>
        <v>2</v>
      </c>
      <c r="D958" s="83"/>
      <c r="E958" s="62" t="s">
        <v>2417</v>
      </c>
      <c r="F958" s="61" t="s">
        <v>11112</v>
      </c>
      <c r="G958" s="5"/>
      <c r="H958" s="5"/>
      <c r="I958" s="5"/>
      <c r="J958" s="5"/>
    </row>
    <row r="959" spans="1:10" ht="14.1" customHeight="1" thickBot="1" x14ac:dyDescent="0.25">
      <c r="A959" s="83"/>
      <c r="B959" s="62" t="s">
        <v>12942</v>
      </c>
      <c r="C959" s="71">
        <v>44012</v>
      </c>
      <c r="D959" s="83"/>
      <c r="E959" s="62" t="s">
        <v>3073</v>
      </c>
      <c r="F959" s="61" t="s">
        <v>11112</v>
      </c>
      <c r="G959" s="5"/>
      <c r="H959" s="5"/>
      <c r="I959" s="5"/>
      <c r="J959" s="5"/>
    </row>
    <row r="960" spans="1:10" ht="14.1" customHeight="1" thickBot="1" x14ac:dyDescent="0.25">
      <c r="A960" s="83"/>
      <c r="B960" s="62" t="s">
        <v>1786</v>
      </c>
      <c r="C960" s="60">
        <f>IF(C959="","",IF(AND(MONTH(C959)&gt;=1,MONTH(C959)&lt;=3),1,IF(AND(MONTH(C959)&gt;=4,MONTH(C959)&lt;=6),2,IF(AND(MONTH(C959)&gt;=7,MONTH(C959)&lt;=9),3,4))))</f>
        <v>2</v>
      </c>
      <c r="D960" s="83"/>
      <c r="E960" s="62" t="s">
        <v>13192</v>
      </c>
      <c r="F960" s="61" t="s">
        <v>11112</v>
      </c>
      <c r="G960" s="5"/>
      <c r="H960" s="5"/>
      <c r="I960" s="5"/>
      <c r="J960" s="5"/>
    </row>
    <row r="961" spans="1:10" ht="14.1" customHeight="1" thickBot="1" x14ac:dyDescent="0.25">
      <c r="A961" s="5"/>
      <c r="B961" s="5"/>
      <c r="C961" s="5"/>
      <c r="D961" s="5"/>
      <c r="E961" s="5"/>
      <c r="F961" s="5"/>
      <c r="G961" s="5"/>
      <c r="H961" s="5"/>
      <c r="I961" s="5"/>
      <c r="J961" s="5"/>
    </row>
    <row r="962" spans="1:10" ht="14.1" customHeight="1" thickBot="1" x14ac:dyDescent="0.25">
      <c r="A962" s="67" t="s">
        <v>15735</v>
      </c>
      <c r="B962" s="67" t="s">
        <v>16146</v>
      </c>
      <c r="C962" s="67" t="s">
        <v>15641</v>
      </c>
      <c r="D962" s="67" t="s">
        <v>15251</v>
      </c>
      <c r="E962" s="67" t="s">
        <v>6932</v>
      </c>
      <c r="F962" s="67" t="s">
        <v>15280</v>
      </c>
      <c r="G962" s="5"/>
      <c r="H962" s="5"/>
      <c r="I962" s="5"/>
      <c r="J962" s="5"/>
    </row>
    <row r="963" spans="1:10" ht="13.5" customHeight="1" x14ac:dyDescent="0.2">
      <c r="A963" s="78">
        <v>56112104</v>
      </c>
      <c r="B963" s="64" t="str">
        <f ca="1">IFERROR(INDEX(UNSPSCDes,MATCH(INDIRECT(ADDRESS(ROW(),COLUMN()-1,4)),UNSPSCCode,0)),"")</f>
        <v>Sillas para ejecutivos</v>
      </c>
      <c r="C963" s="63" t="s">
        <v>1449</v>
      </c>
      <c r="D963" s="63">
        <v>5</v>
      </c>
      <c r="E963" s="66">
        <v>5000</v>
      </c>
      <c r="F963" s="65">
        <f ca="1">INDIRECT(ADDRESS(ROW(),COLUMN()-2,4))*INDIRECT(ADDRESS(ROW(),COLUMN()-1,4))</f>
        <v>25000</v>
      </c>
      <c r="G963" s="5"/>
      <c r="H963" s="5"/>
      <c r="I963" s="5"/>
      <c r="J963" s="5"/>
    </row>
    <row r="964" spans="1:10" ht="13.5" customHeight="1" x14ac:dyDescent="0.2">
      <c r="A964" s="78">
        <v>56101702</v>
      </c>
      <c r="B964" s="64" t="str">
        <f ca="1">IFERROR(INDEX(UNSPSCDes,MATCH(INDIRECT(ADDRESS(ROW(),COLUMN()-1,4)),UNSPSCCode,0)),"")</f>
        <v>Gabinetes de archivo o accesorios</v>
      </c>
      <c r="C964" s="63" t="s">
        <v>1449</v>
      </c>
      <c r="D964" s="63">
        <v>5</v>
      </c>
      <c r="E964" s="66">
        <v>5000</v>
      </c>
      <c r="F964" s="65">
        <f ca="1">INDIRECT(ADDRESS(ROW(),COLUMN()-2,4))*INDIRECT(ADDRESS(ROW(),COLUMN()-1,4))</f>
        <v>25000</v>
      </c>
      <c r="G964" s="5"/>
      <c r="H964" s="5"/>
      <c r="I964" s="5"/>
      <c r="J964" s="5"/>
    </row>
    <row r="965" spans="1:10" ht="13.5" customHeight="1" x14ac:dyDescent="0.2">
      <c r="A965" s="78">
        <v>56101708</v>
      </c>
      <c r="B965" s="64" t="str">
        <f ca="1">IFERROR(INDEX(UNSPSCDes,MATCH(INDIRECT(ADDRESS(ROW(),COLUMN()-1,4)),UNSPSCCode,0)),"")</f>
        <v>Archivadores móviles</v>
      </c>
      <c r="C965" s="63" t="s">
        <v>1449</v>
      </c>
      <c r="D965" s="63">
        <v>3</v>
      </c>
      <c r="E965" s="66">
        <v>4000</v>
      </c>
      <c r="F965" s="65">
        <f ca="1">INDIRECT(ADDRESS(ROW(),COLUMN()-2,4))*INDIRECT(ADDRESS(ROW(),COLUMN()-1,4))</f>
        <v>12000</v>
      </c>
      <c r="G965" s="5"/>
      <c r="H965" s="5"/>
      <c r="I965" s="5"/>
      <c r="J965" s="5"/>
    </row>
    <row r="966" spans="1:10" ht="13.5" customHeight="1" x14ac:dyDescent="0.2">
      <c r="A966" s="78">
        <v>56101703</v>
      </c>
      <c r="B966" s="64" t="str">
        <f ca="1">IFERROR(INDEX(UNSPSCDes,MATCH(INDIRECT(ADDRESS(ROW(),COLUMN()-1,4)),UNSPSCCode,0)),"")</f>
        <v>Escritorios</v>
      </c>
      <c r="C966" s="63" t="s">
        <v>1449</v>
      </c>
      <c r="D966" s="63">
        <v>3</v>
      </c>
      <c r="E966" s="66">
        <v>10000</v>
      </c>
      <c r="F966" s="65">
        <f ca="1">INDIRECT(ADDRESS(ROW(),COLUMN()-2,4))*INDIRECT(ADDRESS(ROW(),COLUMN()-1,4))</f>
        <v>30000</v>
      </c>
      <c r="G966" s="5"/>
      <c r="H966" s="5"/>
      <c r="I966" s="5"/>
      <c r="J966" s="5"/>
    </row>
    <row r="967" spans="1:10" ht="13.5" customHeight="1" x14ac:dyDescent="0.2">
      <c r="A967" s="78">
        <v>56112103</v>
      </c>
      <c r="B967" s="64" t="str">
        <f ca="1">IFERROR(INDEX(UNSPSCDes,MATCH(INDIRECT(ADDRESS(ROW(),COLUMN()-1,4)),UNSPSCCode,0)),"")</f>
        <v>Sillas para visitantes</v>
      </c>
      <c r="C967" s="63" t="s">
        <v>1449</v>
      </c>
      <c r="D967" s="63">
        <v>4</v>
      </c>
      <c r="E967" s="66">
        <v>2250</v>
      </c>
      <c r="F967" s="65">
        <f ca="1">INDIRECT(ADDRESS(ROW(),COLUMN()-2,4))*INDIRECT(ADDRESS(ROW(),COLUMN()-1,4))</f>
        <v>9000</v>
      </c>
      <c r="G967" s="5"/>
      <c r="H967" s="5"/>
      <c r="I967" s="5"/>
      <c r="J967" s="5"/>
    </row>
    <row r="968" spans="1:10" ht="14.1" customHeight="1" x14ac:dyDescent="0.2">
      <c r="A968" s="5"/>
      <c r="B968" s="5"/>
      <c r="C968" s="5"/>
      <c r="D968" s="5"/>
      <c r="E968" s="68" t="s">
        <v>12550</v>
      </c>
      <c r="F968" s="69">
        <f ca="1">SUM(Table352[MONTO TOTAL ESTIMADO])</f>
        <v>101000</v>
      </c>
      <c r="G968" s="5"/>
      <c r="H968" s="5" t="str">
        <f>C956</f>
        <v>Bienes</v>
      </c>
      <c r="I968" s="5" t="str">
        <f>E956</f>
        <v>Sí</v>
      </c>
      <c r="J968" s="5" t="str">
        <f>D956</f>
        <v>Compras por debajo del Umbral</v>
      </c>
    </row>
    <row r="969" spans="1:10" ht="14.1" customHeight="1" thickBot="1" x14ac:dyDescent="0.3"/>
    <row r="970" spans="1:10" ht="33.75" customHeight="1" thickBot="1" x14ac:dyDescent="0.25">
      <c r="A970" s="59" t="s">
        <v>16382</v>
      </c>
      <c r="B970" s="59" t="s">
        <v>161</v>
      </c>
      <c r="C970" s="59" t="s">
        <v>11724</v>
      </c>
      <c r="D970" s="59" t="s">
        <v>14378</v>
      </c>
      <c r="E970" s="59" t="s">
        <v>10962</v>
      </c>
      <c r="F970" s="59" t="s">
        <v>11095</v>
      </c>
      <c r="G970" s="5"/>
      <c r="H970" s="5"/>
      <c r="I970" s="5"/>
      <c r="J970" s="5"/>
    </row>
    <row r="971" spans="1:10" ht="13.5" customHeight="1" thickBot="1" x14ac:dyDescent="0.25">
      <c r="A971" s="77" t="s">
        <v>18858</v>
      </c>
      <c r="B971" s="77" t="s">
        <v>18859</v>
      </c>
      <c r="C971" s="61" t="s">
        <v>17797</v>
      </c>
      <c r="D971" s="61" t="s">
        <v>10171</v>
      </c>
      <c r="E971" s="61" t="s">
        <v>8854</v>
      </c>
      <c r="F971" s="61"/>
      <c r="G971" s="5"/>
      <c r="H971" s="5"/>
      <c r="I971" s="5"/>
      <c r="J971" s="5"/>
    </row>
    <row r="972" spans="1:10" ht="14.1" customHeight="1" thickBot="1" x14ac:dyDescent="0.25">
      <c r="A972" s="82" t="s">
        <v>14828</v>
      </c>
      <c r="B972" s="62" t="s">
        <v>8528</v>
      </c>
      <c r="C972" s="71">
        <v>44013</v>
      </c>
      <c r="D972" s="82" t="s">
        <v>9385</v>
      </c>
      <c r="E972" s="62" t="s">
        <v>13093</v>
      </c>
      <c r="F972" s="61" t="s">
        <v>3080</v>
      </c>
      <c r="G972" s="5"/>
      <c r="H972" s="5"/>
      <c r="I972" s="5"/>
      <c r="J972" s="5"/>
    </row>
    <row r="973" spans="1:10" ht="14.1" customHeight="1" thickBot="1" x14ac:dyDescent="0.25">
      <c r="A973" s="83"/>
      <c r="B973" s="62" t="s">
        <v>1786</v>
      </c>
      <c r="C973" s="60">
        <f>IF(C972="","",IF(AND(MONTH(C972)&gt;=1,MONTH(C972)&lt;=3),1,IF(AND(MONTH(C972)&gt;=4,MONTH(C972)&lt;=6),2,IF(AND(MONTH(C972)&gt;=7,MONTH(C972)&lt;=9),3,4))))</f>
        <v>3</v>
      </c>
      <c r="D973" s="83"/>
      <c r="E973" s="62" t="s">
        <v>2417</v>
      </c>
      <c r="F973" s="61" t="s">
        <v>11112</v>
      </c>
      <c r="G973" s="5"/>
      <c r="H973" s="5"/>
      <c r="I973" s="5"/>
      <c r="J973" s="5"/>
    </row>
    <row r="974" spans="1:10" ht="14.1" customHeight="1" thickBot="1" x14ac:dyDescent="0.25">
      <c r="A974" s="83"/>
      <c r="B974" s="62" t="s">
        <v>12942</v>
      </c>
      <c r="C974" s="71">
        <v>44104</v>
      </c>
      <c r="D974" s="83"/>
      <c r="E974" s="62" t="s">
        <v>3073</v>
      </c>
      <c r="F974" s="61" t="s">
        <v>11112</v>
      </c>
      <c r="G974" s="5"/>
      <c r="H974" s="5"/>
      <c r="I974" s="5"/>
      <c r="J974" s="5"/>
    </row>
    <row r="975" spans="1:10" ht="14.1" customHeight="1" thickBot="1" x14ac:dyDescent="0.25">
      <c r="A975" s="83"/>
      <c r="B975" s="62" t="s">
        <v>1786</v>
      </c>
      <c r="C975" s="60">
        <f>IF(C974="","",IF(AND(MONTH(C974)&gt;=1,MONTH(C974)&lt;=3),1,IF(AND(MONTH(C974)&gt;=4,MONTH(C974)&lt;=6),2,IF(AND(MONTH(C974)&gt;=7,MONTH(C974)&lt;=9),3,4))))</f>
        <v>3</v>
      </c>
      <c r="D975" s="83"/>
      <c r="E975" s="62" t="s">
        <v>13192</v>
      </c>
      <c r="F975" s="61" t="s">
        <v>11112</v>
      </c>
      <c r="G975" s="5"/>
      <c r="H975" s="5"/>
      <c r="I975" s="5"/>
      <c r="J975" s="5"/>
    </row>
    <row r="976" spans="1:10" ht="14.1" customHeight="1" thickBot="1" x14ac:dyDescent="0.25">
      <c r="A976" s="5"/>
      <c r="B976" s="5"/>
      <c r="C976" s="5"/>
      <c r="D976" s="5"/>
      <c r="E976" s="5"/>
      <c r="F976" s="5"/>
      <c r="G976" s="5"/>
      <c r="H976" s="5"/>
      <c r="I976" s="5"/>
      <c r="J976" s="5"/>
    </row>
    <row r="977" spans="1:10" ht="14.1" customHeight="1" thickBot="1" x14ac:dyDescent="0.25">
      <c r="A977" s="67" t="s">
        <v>15735</v>
      </c>
      <c r="B977" s="67" t="s">
        <v>16146</v>
      </c>
      <c r="C977" s="67" t="s">
        <v>15641</v>
      </c>
      <c r="D977" s="67" t="s">
        <v>15251</v>
      </c>
      <c r="E977" s="67" t="s">
        <v>6932</v>
      </c>
      <c r="F977" s="67" t="s">
        <v>15280</v>
      </c>
      <c r="G977" s="5"/>
      <c r="H977" s="5"/>
      <c r="I977" s="5"/>
      <c r="J977" s="5"/>
    </row>
    <row r="978" spans="1:10" ht="13.5" customHeight="1" x14ac:dyDescent="0.2">
      <c r="A978" s="78">
        <v>56112104</v>
      </c>
      <c r="B978" s="64" t="str">
        <f ca="1">IFERROR(INDEX(UNSPSCDes,MATCH(INDIRECT(ADDRESS(ROW(),COLUMN()-1,4)),UNSPSCCode,0)),"")</f>
        <v>Sillas para ejecutivos</v>
      </c>
      <c r="C978" s="63" t="s">
        <v>1449</v>
      </c>
      <c r="D978" s="63">
        <v>5</v>
      </c>
      <c r="E978" s="66">
        <v>5000</v>
      </c>
      <c r="F978" s="65">
        <f ca="1">INDIRECT(ADDRESS(ROW(),COLUMN()-2,4))*INDIRECT(ADDRESS(ROW(),COLUMN()-1,4))</f>
        <v>25000</v>
      </c>
      <c r="G978" s="5"/>
      <c r="H978" s="5"/>
      <c r="I978" s="5"/>
      <c r="J978" s="5"/>
    </row>
    <row r="979" spans="1:10" ht="13.5" customHeight="1" x14ac:dyDescent="0.2">
      <c r="A979" s="78">
        <v>56101702</v>
      </c>
      <c r="B979" s="64" t="str">
        <f ca="1">IFERROR(INDEX(UNSPSCDes,MATCH(INDIRECT(ADDRESS(ROW(),COLUMN()-1,4)),UNSPSCCode,0)),"")</f>
        <v>Gabinetes de archivo o accesorios</v>
      </c>
      <c r="C979" s="63" t="s">
        <v>1449</v>
      </c>
      <c r="D979" s="63">
        <v>5</v>
      </c>
      <c r="E979" s="66">
        <v>5000</v>
      </c>
      <c r="F979" s="65">
        <f ca="1">INDIRECT(ADDRESS(ROW(),COLUMN()-2,4))*INDIRECT(ADDRESS(ROW(),COLUMN()-1,4))</f>
        <v>25000</v>
      </c>
      <c r="G979" s="5"/>
      <c r="H979" s="5"/>
      <c r="I979" s="5"/>
      <c r="J979" s="5"/>
    </row>
    <row r="980" spans="1:10" ht="13.5" customHeight="1" x14ac:dyDescent="0.2">
      <c r="A980" s="78">
        <v>56101708</v>
      </c>
      <c r="B980" s="64" t="str">
        <f ca="1">IFERROR(INDEX(UNSPSCDes,MATCH(INDIRECT(ADDRESS(ROW(),COLUMN()-1,4)),UNSPSCCode,0)),"")</f>
        <v>Archivadores móviles</v>
      </c>
      <c r="C980" s="63" t="s">
        <v>1449</v>
      </c>
      <c r="D980" s="63">
        <v>5</v>
      </c>
      <c r="E980" s="66">
        <v>4000</v>
      </c>
      <c r="F980" s="65">
        <f ca="1">INDIRECT(ADDRESS(ROW(),COLUMN()-2,4))*INDIRECT(ADDRESS(ROW(),COLUMN()-1,4))</f>
        <v>20000</v>
      </c>
      <c r="G980" s="5"/>
      <c r="H980" s="5"/>
      <c r="I980" s="5"/>
      <c r="J980" s="5"/>
    </row>
    <row r="981" spans="1:10" ht="13.5" customHeight="1" x14ac:dyDescent="0.2">
      <c r="A981" s="78">
        <v>56101703</v>
      </c>
      <c r="B981" s="64" t="str">
        <f ca="1">IFERROR(INDEX(UNSPSCDes,MATCH(INDIRECT(ADDRESS(ROW(),COLUMN()-1,4)),UNSPSCCode,0)),"")</f>
        <v>Escritorios</v>
      </c>
      <c r="C981" s="63" t="s">
        <v>1449</v>
      </c>
      <c r="D981" s="63">
        <v>3</v>
      </c>
      <c r="E981" s="66">
        <v>10000</v>
      </c>
      <c r="F981" s="65">
        <f ca="1">INDIRECT(ADDRESS(ROW(),COLUMN()-2,4))*INDIRECT(ADDRESS(ROW(),COLUMN()-1,4))</f>
        <v>30000</v>
      </c>
      <c r="G981" s="5"/>
      <c r="H981" s="5"/>
      <c r="I981" s="5"/>
      <c r="J981" s="5"/>
    </row>
    <row r="982" spans="1:10" ht="13.5" customHeight="1" x14ac:dyDescent="0.2">
      <c r="A982" s="78">
        <v>56112103</v>
      </c>
      <c r="B982" s="64" t="str">
        <f ca="1">IFERROR(INDEX(UNSPSCDes,MATCH(INDIRECT(ADDRESS(ROW(),COLUMN()-1,4)),UNSPSCCode,0)),"")</f>
        <v>Sillas para visitantes</v>
      </c>
      <c r="C982" s="63" t="s">
        <v>1449</v>
      </c>
      <c r="D982" s="63">
        <v>1</v>
      </c>
      <c r="E982" s="66">
        <v>2250</v>
      </c>
      <c r="F982" s="65">
        <f ca="1">INDIRECT(ADDRESS(ROW(),COLUMN()-2,4))*INDIRECT(ADDRESS(ROW(),COLUMN()-1,4))</f>
        <v>2250</v>
      </c>
      <c r="G982" s="5"/>
      <c r="H982" s="5"/>
      <c r="I982" s="5"/>
      <c r="J982" s="5"/>
    </row>
    <row r="983" spans="1:10" ht="14.1" customHeight="1" x14ac:dyDescent="0.2">
      <c r="A983" s="5"/>
      <c r="B983" s="5"/>
      <c r="C983" s="5"/>
      <c r="D983" s="5"/>
      <c r="E983" s="68" t="s">
        <v>12550</v>
      </c>
      <c r="F983" s="69">
        <f ca="1">SUM(Table353[MONTO TOTAL ESTIMADO])</f>
        <v>102250</v>
      </c>
      <c r="G983" s="5"/>
      <c r="H983" s="5" t="str">
        <f>C971</f>
        <v>Bienes</v>
      </c>
      <c r="I983" s="5" t="str">
        <f>E971</f>
        <v>Sí</v>
      </c>
      <c r="J983" s="5" t="str">
        <f>D971</f>
        <v>Compras por debajo del Umbral</v>
      </c>
    </row>
    <row r="984" spans="1:10" ht="14.1" customHeight="1" thickBot="1" x14ac:dyDescent="0.3"/>
    <row r="985" spans="1:10" ht="33.75" customHeight="1" thickBot="1" x14ac:dyDescent="0.25">
      <c r="A985" s="59" t="s">
        <v>16382</v>
      </c>
      <c r="B985" s="59" t="s">
        <v>161</v>
      </c>
      <c r="C985" s="59" t="s">
        <v>11724</v>
      </c>
      <c r="D985" s="59" t="s">
        <v>14378</v>
      </c>
      <c r="E985" s="59" t="s">
        <v>10962</v>
      </c>
      <c r="F985" s="59" t="s">
        <v>11095</v>
      </c>
      <c r="G985" s="5"/>
      <c r="H985" s="5"/>
      <c r="I985" s="5"/>
      <c r="J985" s="5"/>
    </row>
    <row r="986" spans="1:10" ht="13.5" customHeight="1" thickBot="1" x14ac:dyDescent="0.25">
      <c r="A986" s="77" t="s">
        <v>18858</v>
      </c>
      <c r="B986" s="77" t="s">
        <v>18859</v>
      </c>
      <c r="C986" s="61" t="s">
        <v>17797</v>
      </c>
      <c r="D986" s="61" t="s">
        <v>10171</v>
      </c>
      <c r="E986" s="61" t="s">
        <v>8854</v>
      </c>
      <c r="F986" s="61"/>
      <c r="G986" s="5"/>
      <c r="H986" s="5"/>
      <c r="I986" s="5"/>
      <c r="J986" s="5"/>
    </row>
    <row r="987" spans="1:10" ht="14.1" customHeight="1" thickBot="1" x14ac:dyDescent="0.25">
      <c r="A987" s="82" t="s">
        <v>14828</v>
      </c>
      <c r="B987" s="62" t="s">
        <v>8528</v>
      </c>
      <c r="C987" s="71">
        <v>44105</v>
      </c>
      <c r="D987" s="82" t="s">
        <v>9385</v>
      </c>
      <c r="E987" s="62" t="s">
        <v>13093</v>
      </c>
      <c r="F987" s="61" t="s">
        <v>3080</v>
      </c>
      <c r="G987" s="5"/>
      <c r="H987" s="5"/>
      <c r="I987" s="5"/>
      <c r="J987" s="5"/>
    </row>
    <row r="988" spans="1:10" ht="14.1" customHeight="1" thickBot="1" x14ac:dyDescent="0.25">
      <c r="A988" s="83"/>
      <c r="B988" s="62" t="s">
        <v>1786</v>
      </c>
      <c r="C988" s="60">
        <f>IF(C987="","",IF(AND(MONTH(C987)&gt;=1,MONTH(C987)&lt;=3),1,IF(AND(MONTH(C987)&gt;=4,MONTH(C987)&lt;=6),2,IF(AND(MONTH(C987)&gt;=7,MONTH(C987)&lt;=9),3,4))))</f>
        <v>4</v>
      </c>
      <c r="D988" s="83"/>
      <c r="E988" s="62" t="s">
        <v>2417</v>
      </c>
      <c r="F988" s="61" t="s">
        <v>11112</v>
      </c>
      <c r="G988" s="5"/>
      <c r="H988" s="5"/>
      <c r="I988" s="5"/>
      <c r="J988" s="5"/>
    </row>
    <row r="989" spans="1:10" ht="14.1" customHeight="1" thickBot="1" x14ac:dyDescent="0.25">
      <c r="A989" s="83"/>
      <c r="B989" s="62" t="s">
        <v>12942</v>
      </c>
      <c r="C989" s="71">
        <v>44196</v>
      </c>
      <c r="D989" s="83"/>
      <c r="E989" s="62" t="s">
        <v>3073</v>
      </c>
      <c r="F989" s="61" t="s">
        <v>11112</v>
      </c>
      <c r="G989" s="5"/>
      <c r="H989" s="5"/>
      <c r="I989" s="5"/>
      <c r="J989" s="5"/>
    </row>
    <row r="990" spans="1:10" ht="14.1" customHeight="1" thickBot="1" x14ac:dyDescent="0.25">
      <c r="A990" s="83"/>
      <c r="B990" s="62" t="s">
        <v>1786</v>
      </c>
      <c r="C990" s="60">
        <f>IF(C989="","",IF(AND(MONTH(C989)&gt;=1,MONTH(C989)&lt;=3),1,IF(AND(MONTH(C989)&gt;=4,MONTH(C989)&lt;=6),2,IF(AND(MONTH(C989)&gt;=7,MONTH(C989)&lt;=9),3,4))))</f>
        <v>4</v>
      </c>
      <c r="D990" s="83"/>
      <c r="E990" s="62" t="s">
        <v>13192</v>
      </c>
      <c r="F990" s="61" t="s">
        <v>11112</v>
      </c>
      <c r="G990" s="5"/>
      <c r="H990" s="5"/>
      <c r="I990" s="5"/>
      <c r="J990" s="5"/>
    </row>
    <row r="991" spans="1:10" ht="14.1" customHeight="1" thickBot="1" x14ac:dyDescent="0.25">
      <c r="A991" s="5"/>
      <c r="B991" s="5"/>
      <c r="C991" s="5"/>
      <c r="D991" s="5"/>
      <c r="E991" s="5"/>
      <c r="F991" s="5"/>
      <c r="G991" s="5"/>
      <c r="H991" s="5"/>
      <c r="I991" s="5"/>
      <c r="J991" s="5"/>
    </row>
    <row r="992" spans="1:10" ht="14.1" customHeight="1" thickBot="1" x14ac:dyDescent="0.25">
      <c r="A992" s="67" t="s">
        <v>15735</v>
      </c>
      <c r="B992" s="67" t="s">
        <v>16146</v>
      </c>
      <c r="C992" s="67" t="s">
        <v>15641</v>
      </c>
      <c r="D992" s="67" t="s">
        <v>15251</v>
      </c>
      <c r="E992" s="67" t="s">
        <v>6932</v>
      </c>
      <c r="F992" s="67" t="s">
        <v>15280</v>
      </c>
      <c r="G992" s="5"/>
      <c r="H992" s="5"/>
      <c r="I992" s="5"/>
      <c r="J992" s="5"/>
    </row>
    <row r="993" spans="1:10" ht="13.5" customHeight="1" x14ac:dyDescent="0.2">
      <c r="A993" s="78">
        <v>56101532</v>
      </c>
      <c r="B993" s="64" t="str">
        <f t="shared" ref="B993:B999" ca="1" si="58">IFERROR(INDEX(UNSPSCDes,MATCH(INDIRECT(ADDRESS(ROW(),COLUMN()-1,4)),UNSPSCCode,0)),"")</f>
        <v>Set de muebles</v>
      </c>
      <c r="C993" s="63" t="s">
        <v>1449</v>
      </c>
      <c r="D993" s="63">
        <v>1</v>
      </c>
      <c r="E993" s="66">
        <v>16000</v>
      </c>
      <c r="F993" s="65">
        <f t="shared" ref="F993:F999" ca="1" si="59">INDIRECT(ADDRESS(ROW(),COLUMN()-2,4))*INDIRECT(ADDRESS(ROW(),COLUMN()-1,4))</f>
        <v>16000</v>
      </c>
      <c r="G993" s="5"/>
      <c r="H993" s="5"/>
      <c r="I993" s="5"/>
      <c r="J993" s="5"/>
    </row>
    <row r="994" spans="1:10" ht="13.5" customHeight="1" x14ac:dyDescent="0.2">
      <c r="A994" s="78">
        <v>56112104</v>
      </c>
      <c r="B994" s="64" t="str">
        <f t="shared" ca="1" si="58"/>
        <v>Sillas para ejecutivos</v>
      </c>
      <c r="C994" s="63" t="s">
        <v>1449</v>
      </c>
      <c r="D994" s="63">
        <v>7</v>
      </c>
      <c r="E994" s="66">
        <v>5000</v>
      </c>
      <c r="F994" s="65">
        <f t="shared" ca="1" si="59"/>
        <v>35000</v>
      </c>
      <c r="G994" s="5"/>
      <c r="H994" s="5"/>
      <c r="I994" s="5"/>
      <c r="J994" s="5"/>
    </row>
    <row r="995" spans="1:10" ht="13.5" customHeight="1" x14ac:dyDescent="0.2">
      <c r="A995" s="78">
        <v>56101702</v>
      </c>
      <c r="B995" s="64" t="str">
        <f t="shared" ca="1" si="58"/>
        <v>Gabinetes de archivo o accesorios</v>
      </c>
      <c r="C995" s="63" t="s">
        <v>1449</v>
      </c>
      <c r="D995" s="63">
        <v>3</v>
      </c>
      <c r="E995" s="66">
        <v>5000</v>
      </c>
      <c r="F995" s="65">
        <f t="shared" ca="1" si="59"/>
        <v>15000</v>
      </c>
      <c r="G995" s="5"/>
      <c r="H995" s="5"/>
      <c r="I995" s="5"/>
      <c r="J995" s="5"/>
    </row>
    <row r="996" spans="1:10" ht="13.5" customHeight="1" x14ac:dyDescent="0.2">
      <c r="A996" s="78">
        <v>56101708</v>
      </c>
      <c r="B996" s="64" t="str">
        <f t="shared" ca="1" si="58"/>
        <v>Archivadores móviles</v>
      </c>
      <c r="C996" s="63" t="s">
        <v>1449</v>
      </c>
      <c r="D996" s="63">
        <v>2</v>
      </c>
      <c r="E996" s="66">
        <v>4000</v>
      </c>
      <c r="F996" s="65">
        <f t="shared" ca="1" si="59"/>
        <v>8000</v>
      </c>
      <c r="G996" s="5"/>
      <c r="H996" s="5"/>
      <c r="I996" s="5"/>
      <c r="J996" s="5"/>
    </row>
    <row r="997" spans="1:10" ht="13.5" customHeight="1" x14ac:dyDescent="0.2">
      <c r="A997" s="78">
        <v>56101701</v>
      </c>
      <c r="B997" s="64" t="str">
        <f t="shared" ca="1" si="58"/>
        <v>Cajoneras o estanterías</v>
      </c>
      <c r="C997" s="63" t="s">
        <v>1449</v>
      </c>
      <c r="D997" s="63">
        <v>2</v>
      </c>
      <c r="E997" s="66">
        <v>10000</v>
      </c>
      <c r="F997" s="65">
        <f t="shared" ca="1" si="59"/>
        <v>20000</v>
      </c>
      <c r="G997" s="5"/>
      <c r="H997" s="5"/>
      <c r="I997" s="5"/>
      <c r="J997" s="5"/>
    </row>
    <row r="998" spans="1:10" ht="13.5" customHeight="1" x14ac:dyDescent="0.2">
      <c r="A998" s="78">
        <v>56112103</v>
      </c>
      <c r="B998" s="64" t="str">
        <f t="shared" ca="1" si="58"/>
        <v>Sillas para visitantes</v>
      </c>
      <c r="C998" s="63" t="s">
        <v>1449</v>
      </c>
      <c r="D998" s="63">
        <v>3</v>
      </c>
      <c r="E998" s="66">
        <v>2250</v>
      </c>
      <c r="F998" s="65">
        <f t="shared" ca="1" si="59"/>
        <v>6750</v>
      </c>
      <c r="G998" s="5"/>
      <c r="H998" s="5"/>
      <c r="I998" s="5"/>
      <c r="J998" s="5"/>
    </row>
    <row r="999" spans="1:10" ht="13.5" customHeight="1" x14ac:dyDescent="0.2">
      <c r="A999" s="78">
        <v>56121403</v>
      </c>
      <c r="B999" s="64" t="str">
        <f t="shared" ca="1" si="58"/>
        <v>Mesas móviles</v>
      </c>
      <c r="C999" s="63" t="s">
        <v>1449</v>
      </c>
      <c r="D999" s="63">
        <v>3</v>
      </c>
      <c r="E999" s="66">
        <v>1167</v>
      </c>
      <c r="F999" s="65">
        <f t="shared" ca="1" si="59"/>
        <v>3501</v>
      </c>
      <c r="G999" s="5"/>
      <c r="H999" s="5"/>
      <c r="I999" s="5"/>
      <c r="J999" s="5"/>
    </row>
    <row r="1000" spans="1:10" ht="14.1" customHeight="1" x14ac:dyDescent="0.2">
      <c r="A1000" s="5"/>
      <c r="B1000" s="5"/>
      <c r="C1000" s="5"/>
      <c r="D1000" s="5"/>
      <c r="E1000" s="68" t="s">
        <v>12550</v>
      </c>
      <c r="F1000" s="69">
        <f ca="1">SUM(Table354[MONTO TOTAL ESTIMADO])</f>
        <v>104251</v>
      </c>
      <c r="G1000" s="5"/>
      <c r="H1000" s="5" t="str">
        <f>C986</f>
        <v>Bienes</v>
      </c>
      <c r="I1000" s="5" t="str">
        <f>E986</f>
        <v>Sí</v>
      </c>
      <c r="J1000" s="5" t="str">
        <f>D986</f>
        <v>Compras por debajo del Umbral</v>
      </c>
    </row>
    <row r="1001" spans="1:10" ht="14.1" customHeight="1" thickBot="1" x14ac:dyDescent="0.3"/>
    <row r="1002" spans="1:10" ht="33.75" customHeight="1" thickBot="1" x14ac:dyDescent="0.25">
      <c r="A1002" s="59" t="s">
        <v>16382</v>
      </c>
      <c r="B1002" s="59" t="s">
        <v>161</v>
      </c>
      <c r="C1002" s="59" t="s">
        <v>11724</v>
      </c>
      <c r="D1002" s="59" t="s">
        <v>14378</v>
      </c>
      <c r="E1002" s="59" t="s">
        <v>10962</v>
      </c>
      <c r="F1002" s="59" t="s">
        <v>11095</v>
      </c>
      <c r="G1002" s="5"/>
      <c r="H1002" s="5"/>
      <c r="I1002" s="5"/>
      <c r="J1002" s="5"/>
    </row>
    <row r="1003" spans="1:10" ht="13.5" customHeight="1" thickBot="1" x14ac:dyDescent="0.25">
      <c r="A1003" s="77" t="s">
        <v>18860</v>
      </c>
      <c r="B1003" s="77" t="s">
        <v>18861</v>
      </c>
      <c r="C1003" s="61" t="s">
        <v>17797</v>
      </c>
      <c r="D1003" s="61" t="s">
        <v>17482</v>
      </c>
      <c r="E1003" s="61" t="s">
        <v>8854</v>
      </c>
      <c r="F1003" s="61"/>
      <c r="G1003" s="5"/>
      <c r="H1003" s="5"/>
      <c r="I1003" s="5"/>
      <c r="J1003" s="5"/>
    </row>
    <row r="1004" spans="1:10" ht="14.1" customHeight="1" thickBot="1" x14ac:dyDescent="0.25">
      <c r="A1004" s="82" t="s">
        <v>14828</v>
      </c>
      <c r="B1004" s="62" t="s">
        <v>8528</v>
      </c>
      <c r="C1004" s="71">
        <v>43831</v>
      </c>
      <c r="D1004" s="82" t="s">
        <v>9385</v>
      </c>
      <c r="E1004" s="62" t="s">
        <v>13093</v>
      </c>
      <c r="F1004" s="61" t="s">
        <v>3080</v>
      </c>
      <c r="G1004" s="5"/>
      <c r="H1004" s="5"/>
      <c r="I1004" s="5"/>
      <c r="J1004" s="5"/>
    </row>
    <row r="1005" spans="1:10" ht="14.1" customHeight="1" thickBot="1" x14ac:dyDescent="0.25">
      <c r="A1005" s="83"/>
      <c r="B1005" s="62" t="s">
        <v>1786</v>
      </c>
      <c r="C1005" s="60">
        <f>IF(C1004="","",IF(AND(MONTH(C1004)&gt;=1,MONTH(C1004)&lt;=3),1,IF(AND(MONTH(C1004)&gt;=4,MONTH(C1004)&lt;=6),2,IF(AND(MONTH(C1004)&gt;=7,MONTH(C1004)&lt;=9),3,4))))</f>
        <v>1</v>
      </c>
      <c r="D1005" s="83"/>
      <c r="E1005" s="62" t="s">
        <v>2417</v>
      </c>
      <c r="F1005" s="61" t="s">
        <v>11112</v>
      </c>
      <c r="G1005" s="5"/>
      <c r="H1005" s="5"/>
      <c r="I1005" s="5"/>
      <c r="J1005" s="5"/>
    </row>
    <row r="1006" spans="1:10" ht="14.1" customHeight="1" thickBot="1" x14ac:dyDescent="0.25">
      <c r="A1006" s="83"/>
      <c r="B1006" s="62" t="s">
        <v>12942</v>
      </c>
      <c r="C1006" s="71">
        <v>43921</v>
      </c>
      <c r="D1006" s="83"/>
      <c r="E1006" s="62" t="s">
        <v>3073</v>
      </c>
      <c r="F1006" s="61" t="s">
        <v>11112</v>
      </c>
      <c r="G1006" s="5"/>
      <c r="H1006" s="5"/>
      <c r="I1006" s="5"/>
      <c r="J1006" s="5"/>
    </row>
    <row r="1007" spans="1:10" ht="14.1" customHeight="1" thickBot="1" x14ac:dyDescent="0.25">
      <c r="A1007" s="83"/>
      <c r="B1007" s="62" t="s">
        <v>1786</v>
      </c>
      <c r="C1007" s="60">
        <f>IF(C1006="","",IF(AND(MONTH(C1006)&gt;=1,MONTH(C1006)&lt;=3),1,IF(AND(MONTH(C1006)&gt;=4,MONTH(C1006)&lt;=6),2,IF(AND(MONTH(C1006)&gt;=7,MONTH(C1006)&lt;=9),3,4))))</f>
        <v>1</v>
      </c>
      <c r="D1007" s="83"/>
      <c r="E1007" s="62" t="s">
        <v>13192</v>
      </c>
      <c r="F1007" s="61" t="s">
        <v>11112</v>
      </c>
      <c r="G1007" s="5"/>
      <c r="H1007" s="5"/>
      <c r="I1007" s="5"/>
      <c r="J1007" s="5"/>
    </row>
    <row r="1008" spans="1:10" ht="14.1" customHeight="1" thickBot="1" x14ac:dyDescent="0.25">
      <c r="A1008" s="5"/>
      <c r="B1008" s="5"/>
      <c r="C1008" s="5"/>
      <c r="D1008" s="5"/>
      <c r="E1008" s="5"/>
      <c r="F1008" s="5"/>
      <c r="G1008" s="5"/>
      <c r="H1008" s="5"/>
      <c r="I1008" s="5"/>
      <c r="J1008" s="5"/>
    </row>
    <row r="1009" spans="1:10" ht="14.1" customHeight="1" thickBot="1" x14ac:dyDescent="0.25">
      <c r="A1009" s="67" t="s">
        <v>15735</v>
      </c>
      <c r="B1009" s="67" t="s">
        <v>16146</v>
      </c>
      <c r="C1009" s="67" t="s">
        <v>15641</v>
      </c>
      <c r="D1009" s="67" t="s">
        <v>15251</v>
      </c>
      <c r="E1009" s="67" t="s">
        <v>6932</v>
      </c>
      <c r="F1009" s="67" t="s">
        <v>15280</v>
      </c>
      <c r="G1009" s="5"/>
      <c r="H1009" s="5"/>
      <c r="I1009" s="5"/>
      <c r="J1009" s="5"/>
    </row>
    <row r="1010" spans="1:10" ht="13.5" customHeight="1" x14ac:dyDescent="0.2">
      <c r="A1010" s="78">
        <v>43211706</v>
      </c>
      <c r="B1010" s="64" t="str">
        <f t="shared" ref="B1010:B1024" ca="1" si="60">IFERROR(INDEX(UNSPSCDes,MATCH(INDIRECT(ADDRESS(ROW(),COLUMN()-1,4)),UNSPSCCode,0)),"")</f>
        <v>Teclados</v>
      </c>
      <c r="C1010" s="63" t="s">
        <v>1449</v>
      </c>
      <c r="D1010" s="63">
        <v>20</v>
      </c>
      <c r="E1010" s="66">
        <v>1000</v>
      </c>
      <c r="F1010" s="65">
        <f t="shared" ref="F1010:F1024" ca="1" si="61">INDIRECT(ADDRESS(ROW(),COLUMN()-2,4))*INDIRECT(ADDRESS(ROW(),COLUMN()-1,4))</f>
        <v>20000</v>
      </c>
      <c r="G1010" s="5"/>
      <c r="H1010" s="5"/>
      <c r="I1010" s="5"/>
      <c r="J1010" s="5"/>
    </row>
    <row r="1011" spans="1:10" ht="13.5" customHeight="1" x14ac:dyDescent="0.2">
      <c r="A1011" s="78">
        <v>43211708</v>
      </c>
      <c r="B1011" s="64" t="str">
        <f t="shared" ca="1" si="60"/>
        <v>Mouse o bola de seguimiento para computador</v>
      </c>
      <c r="C1011" s="63" t="s">
        <v>1449</v>
      </c>
      <c r="D1011" s="63">
        <v>20</v>
      </c>
      <c r="E1011" s="66">
        <v>400</v>
      </c>
      <c r="F1011" s="65">
        <f t="shared" ca="1" si="61"/>
        <v>8000</v>
      </c>
      <c r="G1011" s="5"/>
      <c r="H1011" s="5"/>
      <c r="I1011" s="5"/>
      <c r="J1011" s="5"/>
    </row>
    <row r="1012" spans="1:10" ht="13.5" customHeight="1" x14ac:dyDescent="0.2">
      <c r="A1012" s="78">
        <v>43211507</v>
      </c>
      <c r="B1012" s="64" t="str">
        <f t="shared" ca="1" si="60"/>
        <v>Computadores de escritorio</v>
      </c>
      <c r="C1012" s="63" t="s">
        <v>1449</v>
      </c>
      <c r="D1012" s="63">
        <v>20</v>
      </c>
      <c r="E1012" s="66">
        <v>13000</v>
      </c>
      <c r="F1012" s="65">
        <f t="shared" ca="1" si="61"/>
        <v>260000</v>
      </c>
      <c r="G1012" s="5"/>
      <c r="H1012" s="5"/>
      <c r="I1012" s="5"/>
      <c r="J1012" s="5"/>
    </row>
    <row r="1013" spans="1:10" ht="13.5" customHeight="1" x14ac:dyDescent="0.2">
      <c r="A1013" s="78">
        <v>43211508</v>
      </c>
      <c r="B1013" s="64" t="str">
        <f t="shared" ca="1" si="60"/>
        <v>Computadores personales</v>
      </c>
      <c r="C1013" s="63" t="s">
        <v>1449</v>
      </c>
      <c r="D1013" s="63">
        <v>13</v>
      </c>
      <c r="E1013" s="66">
        <v>12000</v>
      </c>
      <c r="F1013" s="65">
        <f t="shared" ca="1" si="61"/>
        <v>156000</v>
      </c>
      <c r="G1013" s="5"/>
      <c r="H1013" s="5"/>
      <c r="I1013" s="5"/>
      <c r="J1013" s="5"/>
    </row>
    <row r="1014" spans="1:10" ht="13.5" customHeight="1" x14ac:dyDescent="0.2">
      <c r="A1014" s="78">
        <v>43212105</v>
      </c>
      <c r="B1014" s="64" t="str">
        <f t="shared" ca="1" si="60"/>
        <v>Impresoras láser</v>
      </c>
      <c r="C1014" s="63" t="s">
        <v>1449</v>
      </c>
      <c r="D1014" s="63">
        <v>8</v>
      </c>
      <c r="E1014" s="66">
        <v>14000</v>
      </c>
      <c r="F1014" s="65">
        <f t="shared" ca="1" si="61"/>
        <v>112000</v>
      </c>
      <c r="G1014" s="5"/>
      <c r="H1014" s="5"/>
      <c r="I1014" s="5"/>
      <c r="J1014" s="5"/>
    </row>
    <row r="1015" spans="1:10" ht="13.5" customHeight="1" x14ac:dyDescent="0.2">
      <c r="A1015" s="78">
        <v>43211607</v>
      </c>
      <c r="B1015" s="64" t="str">
        <f t="shared" ca="1" si="60"/>
        <v>Parlantes de computador</v>
      </c>
      <c r="C1015" s="63" t="s">
        <v>1449</v>
      </c>
      <c r="D1015" s="63">
        <v>4</v>
      </c>
      <c r="E1015" s="66">
        <v>400</v>
      </c>
      <c r="F1015" s="65">
        <f t="shared" ca="1" si="61"/>
        <v>1600</v>
      </c>
      <c r="G1015" s="5"/>
      <c r="H1015" s="5"/>
      <c r="I1015" s="5"/>
      <c r="J1015" s="5"/>
    </row>
    <row r="1016" spans="1:10" ht="13.5" customHeight="1" x14ac:dyDescent="0.2">
      <c r="A1016" s="78">
        <v>43201809</v>
      </c>
      <c r="B1016" s="64" t="str">
        <f t="shared" ca="1" si="60"/>
        <v>Disco compacto cd de lectura y escritura</v>
      </c>
      <c r="C1016" s="63" t="s">
        <v>1327</v>
      </c>
      <c r="D1016" s="63">
        <v>50</v>
      </c>
      <c r="E1016" s="66">
        <v>550</v>
      </c>
      <c r="F1016" s="65">
        <f t="shared" ca="1" si="61"/>
        <v>27500</v>
      </c>
      <c r="G1016" s="5"/>
      <c r="H1016" s="5"/>
      <c r="I1016" s="5"/>
      <c r="J1016" s="5"/>
    </row>
    <row r="1017" spans="1:10" ht="13.5" customHeight="1" x14ac:dyDescent="0.2">
      <c r="A1017" s="78">
        <v>43201811</v>
      </c>
      <c r="B1017" s="64" t="str">
        <f t="shared" ca="1" si="60"/>
        <v>Disco versátil digital dvd de lectura y escritura</v>
      </c>
      <c r="C1017" s="63" t="s">
        <v>1327</v>
      </c>
      <c r="D1017" s="63">
        <v>50</v>
      </c>
      <c r="E1017" s="66">
        <v>550</v>
      </c>
      <c r="F1017" s="65">
        <f t="shared" ca="1" si="61"/>
        <v>27500</v>
      </c>
      <c r="G1017" s="5"/>
      <c r="H1017" s="5"/>
      <c r="I1017" s="5"/>
      <c r="J1017" s="5"/>
    </row>
    <row r="1018" spans="1:10" ht="13.5" customHeight="1" x14ac:dyDescent="0.2">
      <c r="A1018" s="78">
        <v>26121609</v>
      </c>
      <c r="B1018" s="64" t="str">
        <f t="shared" ca="1" si="60"/>
        <v>Cable de redes</v>
      </c>
      <c r="C1018" s="63" t="s">
        <v>16988</v>
      </c>
      <c r="D1018" s="63">
        <v>1</v>
      </c>
      <c r="E1018" s="66">
        <v>3900</v>
      </c>
      <c r="F1018" s="65">
        <f t="shared" ca="1" si="61"/>
        <v>3900</v>
      </c>
      <c r="G1018" s="5"/>
      <c r="H1018" s="5"/>
      <c r="I1018" s="5"/>
      <c r="J1018" s="5"/>
    </row>
    <row r="1019" spans="1:10" ht="13.5" customHeight="1" x14ac:dyDescent="0.2">
      <c r="A1019" s="78">
        <v>39121705</v>
      </c>
      <c r="B1019" s="64" t="str">
        <f t="shared" ca="1" si="60"/>
        <v>Grapas para cables</v>
      </c>
      <c r="C1019" s="63" t="s">
        <v>4735</v>
      </c>
      <c r="D1019" s="63">
        <v>2</v>
      </c>
      <c r="E1019" s="66">
        <v>150</v>
      </c>
      <c r="F1019" s="65">
        <f t="shared" ca="1" si="61"/>
        <v>300</v>
      </c>
      <c r="G1019" s="5"/>
      <c r="H1019" s="5"/>
      <c r="I1019" s="5"/>
      <c r="J1019" s="5"/>
    </row>
    <row r="1020" spans="1:10" ht="13.5" customHeight="1" x14ac:dyDescent="0.2">
      <c r="A1020" s="78">
        <v>26121620</v>
      </c>
      <c r="B1020" s="64" t="str">
        <f t="shared" ca="1" si="60"/>
        <v>Cable para interconexiones</v>
      </c>
      <c r="C1020" s="63" t="s">
        <v>4735</v>
      </c>
      <c r="D1020" s="63">
        <v>2</v>
      </c>
      <c r="E1020" s="66">
        <v>500</v>
      </c>
      <c r="F1020" s="65">
        <f t="shared" ca="1" si="61"/>
        <v>1000</v>
      </c>
      <c r="G1020" s="5"/>
      <c r="H1020" s="5"/>
      <c r="I1020" s="5"/>
      <c r="J1020" s="5"/>
    </row>
    <row r="1021" spans="1:10" ht="13.5" customHeight="1" x14ac:dyDescent="0.2">
      <c r="A1021" s="78">
        <v>43201803</v>
      </c>
      <c r="B1021" s="64" t="str">
        <f t="shared" ca="1" si="60"/>
        <v>Unidades de disco duro</v>
      </c>
      <c r="C1021" s="63" t="s">
        <v>1449</v>
      </c>
      <c r="D1021" s="63">
        <v>13</v>
      </c>
      <c r="E1021" s="66">
        <v>3000</v>
      </c>
      <c r="F1021" s="65">
        <f t="shared" ca="1" si="61"/>
        <v>39000</v>
      </c>
      <c r="G1021" s="5"/>
      <c r="H1021" s="5"/>
      <c r="I1021" s="5"/>
      <c r="J1021" s="5"/>
    </row>
    <row r="1022" spans="1:10" ht="13.5" customHeight="1" x14ac:dyDescent="0.2">
      <c r="A1022" s="78">
        <v>32101622</v>
      </c>
      <c r="B1022" s="64" t="str">
        <f t="shared" ca="1" si="60"/>
        <v>Memoria flash</v>
      </c>
      <c r="C1022" s="63" t="s">
        <v>1449</v>
      </c>
      <c r="D1022" s="63">
        <v>11</v>
      </c>
      <c r="E1022" s="66">
        <v>1000</v>
      </c>
      <c r="F1022" s="65">
        <f t="shared" ca="1" si="61"/>
        <v>11000</v>
      </c>
      <c r="G1022" s="5"/>
      <c r="H1022" s="5"/>
      <c r="I1022" s="5"/>
      <c r="J1022" s="5"/>
    </row>
    <row r="1023" spans="1:10" ht="13.5" customHeight="1" x14ac:dyDescent="0.2">
      <c r="A1023" s="78">
        <v>43211501</v>
      </c>
      <c r="B1023" s="64" t="str">
        <f t="shared" ca="1" si="60"/>
        <v>Servidores de computador</v>
      </c>
      <c r="C1023" s="63" t="s">
        <v>1449</v>
      </c>
      <c r="D1023" s="63">
        <v>1</v>
      </c>
      <c r="E1023" s="66">
        <v>100000</v>
      </c>
      <c r="F1023" s="65">
        <f t="shared" ca="1" si="61"/>
        <v>100000</v>
      </c>
      <c r="G1023" s="5"/>
      <c r="H1023" s="5"/>
      <c r="I1023" s="5"/>
      <c r="J1023" s="5"/>
    </row>
    <row r="1024" spans="1:10" ht="13.5" customHeight="1" x14ac:dyDescent="0.2">
      <c r="A1024" s="78">
        <v>27112801</v>
      </c>
      <c r="B1024" s="64" t="str">
        <f t="shared" ca="1" si="60"/>
        <v>Brocas</v>
      </c>
      <c r="C1024" s="63" t="s">
        <v>1449</v>
      </c>
      <c r="D1024" s="63">
        <v>19</v>
      </c>
      <c r="E1024" s="66">
        <v>100</v>
      </c>
      <c r="F1024" s="65">
        <f t="shared" ca="1" si="61"/>
        <v>1900</v>
      </c>
      <c r="G1024" s="5"/>
      <c r="H1024" s="5"/>
      <c r="I1024" s="5"/>
      <c r="J1024" s="5"/>
    </row>
    <row r="1025" spans="1:10" ht="14.1" customHeight="1" x14ac:dyDescent="0.2">
      <c r="A1025" s="5"/>
      <c r="B1025" s="5"/>
      <c r="C1025" s="5"/>
      <c r="D1025" s="5"/>
      <c r="E1025" s="68" t="s">
        <v>12550</v>
      </c>
      <c r="F1025" s="69">
        <f ca="1">SUM(Table355[MONTO TOTAL ESTIMADO])</f>
        <v>769700</v>
      </c>
      <c r="G1025" s="5"/>
      <c r="H1025" s="5" t="str">
        <f>C1003</f>
        <v>Bienes</v>
      </c>
      <c r="I1025" s="5" t="str">
        <f>E1003</f>
        <v>Sí</v>
      </c>
      <c r="J1025" s="5" t="str">
        <f>D1003</f>
        <v>Compras Menores</v>
      </c>
    </row>
    <row r="1026" spans="1:10" ht="14.1" customHeight="1" thickBot="1" x14ac:dyDescent="0.3"/>
    <row r="1027" spans="1:10" ht="33.75" customHeight="1" thickBot="1" x14ac:dyDescent="0.25">
      <c r="A1027" s="59" t="s">
        <v>16382</v>
      </c>
      <c r="B1027" s="59" t="s">
        <v>161</v>
      </c>
      <c r="C1027" s="59" t="s">
        <v>11724</v>
      </c>
      <c r="D1027" s="59" t="s">
        <v>14378</v>
      </c>
      <c r="E1027" s="59" t="s">
        <v>10962</v>
      </c>
      <c r="F1027" s="59" t="s">
        <v>11095</v>
      </c>
      <c r="G1027" s="5"/>
      <c r="H1027" s="5"/>
      <c r="I1027" s="5"/>
      <c r="J1027" s="5"/>
    </row>
    <row r="1028" spans="1:10" ht="13.5" customHeight="1" thickBot="1" x14ac:dyDescent="0.25">
      <c r="A1028" s="77" t="s">
        <v>18860</v>
      </c>
      <c r="B1028" s="77" t="s">
        <v>18861</v>
      </c>
      <c r="C1028" s="61" t="s">
        <v>17797</v>
      </c>
      <c r="D1028" s="61" t="s">
        <v>17482</v>
      </c>
      <c r="E1028" s="61" t="s">
        <v>8854</v>
      </c>
      <c r="F1028" s="61"/>
      <c r="G1028" s="5"/>
      <c r="H1028" s="5"/>
      <c r="I1028" s="5"/>
      <c r="J1028" s="5"/>
    </row>
    <row r="1029" spans="1:10" ht="14.1" customHeight="1" thickBot="1" x14ac:dyDescent="0.25">
      <c r="A1029" s="82" t="s">
        <v>14828</v>
      </c>
      <c r="B1029" s="62" t="s">
        <v>8528</v>
      </c>
      <c r="C1029" s="71">
        <v>43922</v>
      </c>
      <c r="D1029" s="82" t="s">
        <v>9385</v>
      </c>
      <c r="E1029" s="62" t="s">
        <v>13093</v>
      </c>
      <c r="F1029" s="61" t="s">
        <v>3080</v>
      </c>
      <c r="G1029" s="5"/>
      <c r="H1029" s="5"/>
      <c r="I1029" s="5"/>
      <c r="J1029" s="5"/>
    </row>
    <row r="1030" spans="1:10" ht="14.1" customHeight="1" thickBot="1" x14ac:dyDescent="0.25">
      <c r="A1030" s="83"/>
      <c r="B1030" s="62" t="s">
        <v>1786</v>
      </c>
      <c r="C1030" s="60">
        <f>IF(C1029="","",IF(AND(MONTH(C1029)&gt;=1,MONTH(C1029)&lt;=3),1,IF(AND(MONTH(C1029)&gt;=4,MONTH(C1029)&lt;=6),2,IF(AND(MONTH(C1029)&gt;=7,MONTH(C1029)&lt;=9),3,4))))</f>
        <v>2</v>
      </c>
      <c r="D1030" s="83"/>
      <c r="E1030" s="62" t="s">
        <v>2417</v>
      </c>
      <c r="F1030" s="61" t="s">
        <v>11112</v>
      </c>
      <c r="G1030" s="5"/>
      <c r="H1030" s="5"/>
      <c r="I1030" s="5"/>
      <c r="J1030" s="5"/>
    </row>
    <row r="1031" spans="1:10" ht="14.1" customHeight="1" thickBot="1" x14ac:dyDescent="0.25">
      <c r="A1031" s="83"/>
      <c r="B1031" s="62" t="s">
        <v>12942</v>
      </c>
      <c r="C1031" s="71">
        <v>44012</v>
      </c>
      <c r="D1031" s="83"/>
      <c r="E1031" s="62" t="s">
        <v>3073</v>
      </c>
      <c r="F1031" s="61" t="s">
        <v>11112</v>
      </c>
      <c r="G1031" s="5"/>
      <c r="H1031" s="5"/>
      <c r="I1031" s="5"/>
      <c r="J1031" s="5"/>
    </row>
    <row r="1032" spans="1:10" ht="14.1" customHeight="1" thickBot="1" x14ac:dyDescent="0.25">
      <c r="A1032" s="83"/>
      <c r="B1032" s="62" t="s">
        <v>1786</v>
      </c>
      <c r="C1032" s="60">
        <f>IF(C1031="","",IF(AND(MONTH(C1031)&gt;=1,MONTH(C1031)&lt;=3),1,IF(AND(MONTH(C1031)&gt;=4,MONTH(C1031)&lt;=6),2,IF(AND(MONTH(C1031)&gt;=7,MONTH(C1031)&lt;=9),3,4))))</f>
        <v>2</v>
      </c>
      <c r="D1032" s="83"/>
      <c r="E1032" s="62" t="s">
        <v>13192</v>
      </c>
      <c r="F1032" s="61" t="s">
        <v>11112</v>
      </c>
      <c r="G1032" s="5"/>
      <c r="H1032" s="5"/>
      <c r="I1032" s="5"/>
      <c r="J1032" s="5"/>
    </row>
    <row r="1033" spans="1:10" ht="14.1" customHeight="1" thickBot="1" x14ac:dyDescent="0.25">
      <c r="A1033" s="5"/>
      <c r="B1033" s="5"/>
      <c r="C1033" s="5"/>
      <c r="D1033" s="5"/>
      <c r="E1033" s="5"/>
      <c r="F1033" s="5"/>
      <c r="G1033" s="5"/>
      <c r="H1033" s="5"/>
      <c r="I1033" s="5"/>
      <c r="J1033" s="5"/>
    </row>
    <row r="1034" spans="1:10" ht="14.1" customHeight="1" thickBot="1" x14ac:dyDescent="0.25">
      <c r="A1034" s="67" t="s">
        <v>15735</v>
      </c>
      <c r="B1034" s="67" t="s">
        <v>16146</v>
      </c>
      <c r="C1034" s="67" t="s">
        <v>15641</v>
      </c>
      <c r="D1034" s="67" t="s">
        <v>15251</v>
      </c>
      <c r="E1034" s="67" t="s">
        <v>6932</v>
      </c>
      <c r="F1034" s="67" t="s">
        <v>15280</v>
      </c>
      <c r="G1034" s="5"/>
      <c r="H1034" s="5"/>
      <c r="I1034" s="5"/>
      <c r="J1034" s="5"/>
    </row>
    <row r="1035" spans="1:10" ht="13.5" customHeight="1" x14ac:dyDescent="0.2">
      <c r="A1035" s="78">
        <v>43211706</v>
      </c>
      <c r="B1035" s="64" t="str">
        <f t="shared" ref="B1035:B1044" ca="1" si="62">IFERROR(INDEX(UNSPSCDes,MATCH(INDIRECT(ADDRESS(ROW(),COLUMN()-1,4)),UNSPSCCode,0)),"")</f>
        <v>Teclados</v>
      </c>
      <c r="C1035" s="63" t="s">
        <v>1449</v>
      </c>
      <c r="D1035" s="63">
        <v>19</v>
      </c>
      <c r="E1035" s="66">
        <v>1000</v>
      </c>
      <c r="F1035" s="65">
        <f t="shared" ref="F1035:F1044" ca="1" si="63">INDIRECT(ADDRESS(ROW(),COLUMN()-2,4))*INDIRECT(ADDRESS(ROW(),COLUMN()-1,4))</f>
        <v>19000</v>
      </c>
      <c r="G1035" s="5"/>
      <c r="H1035" s="5"/>
      <c r="I1035" s="5"/>
      <c r="J1035" s="5"/>
    </row>
    <row r="1036" spans="1:10" ht="13.5" customHeight="1" x14ac:dyDescent="0.2">
      <c r="A1036" s="78">
        <v>43211708</v>
      </c>
      <c r="B1036" s="64" t="str">
        <f t="shared" ca="1" si="62"/>
        <v>Mouse o bola de seguimiento para computador</v>
      </c>
      <c r="C1036" s="63" t="s">
        <v>1449</v>
      </c>
      <c r="D1036" s="63">
        <v>20</v>
      </c>
      <c r="E1036" s="66">
        <v>400</v>
      </c>
      <c r="F1036" s="65">
        <f t="shared" ca="1" si="63"/>
        <v>8000</v>
      </c>
      <c r="G1036" s="5"/>
      <c r="H1036" s="5"/>
      <c r="I1036" s="5"/>
      <c r="J1036" s="5"/>
    </row>
    <row r="1037" spans="1:10" ht="13.5" customHeight="1" x14ac:dyDescent="0.2">
      <c r="A1037" s="78">
        <v>43211507</v>
      </c>
      <c r="B1037" s="64" t="str">
        <f t="shared" ca="1" si="62"/>
        <v>Computadores de escritorio</v>
      </c>
      <c r="C1037" s="63" t="s">
        <v>1449</v>
      </c>
      <c r="D1037" s="63">
        <v>7</v>
      </c>
      <c r="E1037" s="66">
        <v>13000</v>
      </c>
      <c r="F1037" s="65">
        <f t="shared" ca="1" si="63"/>
        <v>91000</v>
      </c>
      <c r="G1037" s="5"/>
      <c r="H1037" s="5"/>
      <c r="I1037" s="5"/>
      <c r="J1037" s="5"/>
    </row>
    <row r="1038" spans="1:10" ht="13.5" customHeight="1" x14ac:dyDescent="0.2">
      <c r="A1038" s="78">
        <v>43211508</v>
      </c>
      <c r="B1038" s="64" t="str">
        <f t="shared" ca="1" si="62"/>
        <v>Computadores personales</v>
      </c>
      <c r="C1038" s="63" t="s">
        <v>1449</v>
      </c>
      <c r="D1038" s="63">
        <v>4</v>
      </c>
      <c r="E1038" s="66">
        <v>12000</v>
      </c>
      <c r="F1038" s="65">
        <f t="shared" ca="1" si="63"/>
        <v>48000</v>
      </c>
      <c r="G1038" s="5"/>
      <c r="H1038" s="5"/>
      <c r="I1038" s="5"/>
      <c r="J1038" s="5"/>
    </row>
    <row r="1039" spans="1:10" ht="13.5" customHeight="1" x14ac:dyDescent="0.2">
      <c r="A1039" s="78">
        <v>43211607</v>
      </c>
      <c r="B1039" s="64" t="str">
        <f t="shared" ca="1" si="62"/>
        <v>Parlantes de computador</v>
      </c>
      <c r="C1039" s="63" t="s">
        <v>1449</v>
      </c>
      <c r="D1039" s="63">
        <v>1</v>
      </c>
      <c r="E1039" s="66">
        <v>400</v>
      </c>
      <c r="F1039" s="65">
        <f t="shared" ca="1" si="63"/>
        <v>400</v>
      </c>
      <c r="G1039" s="5"/>
      <c r="H1039" s="5"/>
      <c r="I1039" s="5"/>
      <c r="J1039" s="5"/>
    </row>
    <row r="1040" spans="1:10" ht="13.5" customHeight="1" x14ac:dyDescent="0.2">
      <c r="A1040" s="78">
        <v>43201809</v>
      </c>
      <c r="B1040" s="64" t="str">
        <f t="shared" ca="1" si="62"/>
        <v>Disco compacto cd de lectura y escritura</v>
      </c>
      <c r="C1040" s="63" t="s">
        <v>1449</v>
      </c>
      <c r="D1040" s="63">
        <v>57</v>
      </c>
      <c r="E1040" s="66">
        <v>550</v>
      </c>
      <c r="F1040" s="65">
        <f t="shared" ca="1" si="63"/>
        <v>31350</v>
      </c>
      <c r="G1040" s="5"/>
      <c r="H1040" s="5"/>
      <c r="I1040" s="5"/>
      <c r="J1040" s="5"/>
    </row>
    <row r="1041" spans="1:10" ht="13.5" customHeight="1" x14ac:dyDescent="0.2">
      <c r="A1041" s="78">
        <v>43201811</v>
      </c>
      <c r="B1041" s="64" t="str">
        <f t="shared" ca="1" si="62"/>
        <v>Disco versátil digital dvd de lectura y escritura</v>
      </c>
      <c r="C1041" s="63" t="s">
        <v>1449</v>
      </c>
      <c r="D1041" s="63">
        <v>55</v>
      </c>
      <c r="E1041" s="66">
        <v>550</v>
      </c>
      <c r="F1041" s="65">
        <f t="shared" ca="1" si="63"/>
        <v>30250</v>
      </c>
      <c r="G1041" s="5"/>
      <c r="H1041" s="5"/>
      <c r="I1041" s="5"/>
      <c r="J1041" s="5"/>
    </row>
    <row r="1042" spans="1:10" ht="13.5" customHeight="1" x14ac:dyDescent="0.2">
      <c r="A1042" s="78">
        <v>26121609</v>
      </c>
      <c r="B1042" s="64" t="str">
        <f t="shared" ca="1" si="62"/>
        <v>Cable de redes</v>
      </c>
      <c r="C1042" s="63" t="s">
        <v>16988</v>
      </c>
      <c r="D1042" s="63">
        <v>1</v>
      </c>
      <c r="E1042" s="66">
        <v>3900</v>
      </c>
      <c r="F1042" s="65">
        <f t="shared" ca="1" si="63"/>
        <v>3900</v>
      </c>
      <c r="G1042" s="5"/>
      <c r="H1042" s="5"/>
      <c r="I1042" s="5"/>
      <c r="J1042" s="5"/>
    </row>
    <row r="1043" spans="1:10" ht="13.5" customHeight="1" x14ac:dyDescent="0.2">
      <c r="A1043" s="78">
        <v>39121705</v>
      </c>
      <c r="B1043" s="64" t="str">
        <f t="shared" ca="1" si="62"/>
        <v>Grapas para cables</v>
      </c>
      <c r="C1043" s="63" t="s">
        <v>4735</v>
      </c>
      <c r="D1043" s="63">
        <v>1</v>
      </c>
      <c r="E1043" s="66">
        <v>150</v>
      </c>
      <c r="F1043" s="65">
        <f t="shared" ca="1" si="63"/>
        <v>150</v>
      </c>
      <c r="G1043" s="5"/>
      <c r="H1043" s="5"/>
      <c r="I1043" s="5"/>
      <c r="J1043" s="5"/>
    </row>
    <row r="1044" spans="1:10" ht="13.5" customHeight="1" x14ac:dyDescent="0.2">
      <c r="A1044" s="78">
        <v>43201803</v>
      </c>
      <c r="B1044" s="64" t="str">
        <f t="shared" ca="1" si="62"/>
        <v>Unidades de disco duro</v>
      </c>
      <c r="C1044" s="63" t="s">
        <v>1449</v>
      </c>
      <c r="D1044" s="63">
        <v>4</v>
      </c>
      <c r="E1044" s="66">
        <v>3000</v>
      </c>
      <c r="F1044" s="65">
        <f t="shared" ca="1" si="63"/>
        <v>12000</v>
      </c>
      <c r="G1044" s="5"/>
      <c r="H1044" s="5"/>
      <c r="I1044" s="5"/>
      <c r="J1044" s="5"/>
    </row>
    <row r="1045" spans="1:10" ht="14.1" customHeight="1" x14ac:dyDescent="0.2">
      <c r="A1045" s="5"/>
      <c r="B1045" s="5"/>
      <c r="C1045" s="5"/>
      <c r="D1045" s="5"/>
      <c r="E1045" s="68" t="s">
        <v>12550</v>
      </c>
      <c r="F1045" s="69">
        <f ca="1">SUM(Table356[MONTO TOTAL ESTIMADO])</f>
        <v>244050</v>
      </c>
      <c r="G1045" s="5"/>
      <c r="H1045" s="5" t="str">
        <f>C1028</f>
        <v>Bienes</v>
      </c>
      <c r="I1045" s="5" t="str">
        <f>E1028</f>
        <v>Sí</v>
      </c>
      <c r="J1045" s="5" t="str">
        <f>D1028</f>
        <v>Compras Menores</v>
      </c>
    </row>
    <row r="1046" spans="1:10" ht="14.1" customHeight="1" thickBot="1" x14ac:dyDescent="0.3"/>
    <row r="1047" spans="1:10" ht="33.75" customHeight="1" thickBot="1" x14ac:dyDescent="0.25">
      <c r="A1047" s="59" t="s">
        <v>16382</v>
      </c>
      <c r="B1047" s="59" t="s">
        <v>161</v>
      </c>
      <c r="C1047" s="59" t="s">
        <v>11724</v>
      </c>
      <c r="D1047" s="59" t="s">
        <v>14378</v>
      </c>
      <c r="E1047" s="59" t="s">
        <v>10962</v>
      </c>
      <c r="F1047" s="59" t="s">
        <v>11095</v>
      </c>
      <c r="G1047" s="5"/>
      <c r="H1047" s="5"/>
      <c r="I1047" s="5"/>
      <c r="J1047" s="5"/>
    </row>
    <row r="1048" spans="1:10" ht="13.5" customHeight="1" thickBot="1" x14ac:dyDescent="0.25">
      <c r="A1048" s="77" t="s">
        <v>18860</v>
      </c>
      <c r="B1048" s="77" t="s">
        <v>18861</v>
      </c>
      <c r="C1048" s="61" t="s">
        <v>17797</v>
      </c>
      <c r="D1048" s="61" t="s">
        <v>17482</v>
      </c>
      <c r="E1048" s="61" t="s">
        <v>8854</v>
      </c>
      <c r="F1048" s="61"/>
      <c r="G1048" s="5"/>
      <c r="H1048" s="5"/>
      <c r="I1048" s="5"/>
      <c r="J1048" s="5"/>
    </row>
    <row r="1049" spans="1:10" ht="14.1" customHeight="1" thickBot="1" x14ac:dyDescent="0.25">
      <c r="A1049" s="82" t="s">
        <v>14828</v>
      </c>
      <c r="B1049" s="62" t="s">
        <v>8528</v>
      </c>
      <c r="C1049" s="71">
        <v>44013</v>
      </c>
      <c r="D1049" s="82" t="s">
        <v>9385</v>
      </c>
      <c r="E1049" s="62" t="s">
        <v>13093</v>
      </c>
      <c r="F1049" s="61" t="s">
        <v>3080</v>
      </c>
      <c r="G1049" s="5"/>
      <c r="H1049" s="5"/>
      <c r="I1049" s="5"/>
      <c r="J1049" s="5"/>
    </row>
    <row r="1050" spans="1:10" ht="14.1" customHeight="1" thickBot="1" x14ac:dyDescent="0.25">
      <c r="A1050" s="83"/>
      <c r="B1050" s="62" t="s">
        <v>1786</v>
      </c>
      <c r="C1050" s="60">
        <f>IF(C1049="","",IF(AND(MONTH(C1049)&gt;=1,MONTH(C1049)&lt;=3),1,IF(AND(MONTH(C1049)&gt;=4,MONTH(C1049)&lt;=6),2,IF(AND(MONTH(C1049)&gt;=7,MONTH(C1049)&lt;=9),3,4))))</f>
        <v>3</v>
      </c>
      <c r="D1050" s="83"/>
      <c r="E1050" s="62" t="s">
        <v>2417</v>
      </c>
      <c r="F1050" s="61" t="s">
        <v>11112</v>
      </c>
      <c r="G1050" s="5"/>
      <c r="H1050" s="5"/>
      <c r="I1050" s="5"/>
      <c r="J1050" s="5"/>
    </row>
    <row r="1051" spans="1:10" ht="14.1" customHeight="1" thickBot="1" x14ac:dyDescent="0.25">
      <c r="A1051" s="83"/>
      <c r="B1051" s="62" t="s">
        <v>12942</v>
      </c>
      <c r="C1051" s="71">
        <v>44104</v>
      </c>
      <c r="D1051" s="83"/>
      <c r="E1051" s="62" t="s">
        <v>3073</v>
      </c>
      <c r="F1051" s="61" t="s">
        <v>11112</v>
      </c>
      <c r="G1051" s="5"/>
      <c r="H1051" s="5"/>
      <c r="I1051" s="5"/>
      <c r="J1051" s="5"/>
    </row>
    <row r="1052" spans="1:10" ht="14.1" customHeight="1" thickBot="1" x14ac:dyDescent="0.25">
      <c r="A1052" s="83"/>
      <c r="B1052" s="62" t="s">
        <v>1786</v>
      </c>
      <c r="C1052" s="60">
        <f>IF(C1051="","",IF(AND(MONTH(C1051)&gt;=1,MONTH(C1051)&lt;=3),1,IF(AND(MONTH(C1051)&gt;=4,MONTH(C1051)&lt;=6),2,IF(AND(MONTH(C1051)&gt;=7,MONTH(C1051)&lt;=9),3,4))))</f>
        <v>3</v>
      </c>
      <c r="D1052" s="83"/>
      <c r="E1052" s="62" t="s">
        <v>13192</v>
      </c>
      <c r="F1052" s="61" t="s">
        <v>11112</v>
      </c>
      <c r="G1052" s="5"/>
      <c r="H1052" s="5"/>
      <c r="I1052" s="5"/>
      <c r="J1052" s="5"/>
    </row>
    <row r="1053" spans="1:10" ht="14.1" customHeight="1" thickBot="1" x14ac:dyDescent="0.25">
      <c r="A1053" s="5"/>
      <c r="B1053" s="5"/>
      <c r="C1053" s="5"/>
      <c r="D1053" s="5"/>
      <c r="E1053" s="5"/>
      <c r="F1053" s="5"/>
      <c r="G1053" s="5"/>
      <c r="H1053" s="5"/>
      <c r="I1053" s="5"/>
      <c r="J1053" s="5"/>
    </row>
    <row r="1054" spans="1:10" ht="14.1" customHeight="1" thickBot="1" x14ac:dyDescent="0.25">
      <c r="A1054" s="67" t="s">
        <v>15735</v>
      </c>
      <c r="B1054" s="67" t="s">
        <v>16146</v>
      </c>
      <c r="C1054" s="67" t="s">
        <v>15641</v>
      </c>
      <c r="D1054" s="67" t="s">
        <v>15251</v>
      </c>
      <c r="E1054" s="67" t="s">
        <v>6932</v>
      </c>
      <c r="F1054" s="67" t="s">
        <v>15280</v>
      </c>
      <c r="G1054" s="5"/>
      <c r="H1054" s="5"/>
      <c r="I1054" s="5"/>
      <c r="J1054" s="5"/>
    </row>
    <row r="1055" spans="1:10" ht="13.5" customHeight="1" x14ac:dyDescent="0.2">
      <c r="A1055" s="78">
        <v>43211706</v>
      </c>
      <c r="B1055" s="64" t="str">
        <f t="shared" ref="B1055:B1069" ca="1" si="64">IFERROR(INDEX(UNSPSCDes,MATCH(INDIRECT(ADDRESS(ROW(),COLUMN()-1,4)),UNSPSCCode,0)),"")</f>
        <v>Teclados</v>
      </c>
      <c r="C1055" s="63" t="s">
        <v>1449</v>
      </c>
      <c r="D1055" s="63">
        <v>20</v>
      </c>
      <c r="E1055" s="66">
        <v>1000</v>
      </c>
      <c r="F1055" s="65">
        <f t="shared" ref="F1055:F1069" ca="1" si="65">INDIRECT(ADDRESS(ROW(),COLUMN()-2,4))*INDIRECT(ADDRESS(ROW(),COLUMN()-1,4))</f>
        <v>20000</v>
      </c>
      <c r="G1055" s="5"/>
      <c r="H1055" s="5"/>
      <c r="I1055" s="5"/>
      <c r="J1055" s="5"/>
    </row>
    <row r="1056" spans="1:10" ht="13.5" customHeight="1" x14ac:dyDescent="0.2">
      <c r="A1056" s="78">
        <v>43211708</v>
      </c>
      <c r="B1056" s="64" t="str">
        <f t="shared" ca="1" si="64"/>
        <v>Mouse o bola de seguimiento para computador</v>
      </c>
      <c r="C1056" s="63" t="s">
        <v>1449</v>
      </c>
      <c r="D1056" s="63">
        <v>20</v>
      </c>
      <c r="E1056" s="66">
        <v>400</v>
      </c>
      <c r="F1056" s="65">
        <f t="shared" ca="1" si="65"/>
        <v>8000</v>
      </c>
      <c r="G1056" s="5"/>
      <c r="H1056" s="5"/>
      <c r="I1056" s="5"/>
      <c r="J1056" s="5"/>
    </row>
    <row r="1057" spans="1:10" ht="13.5" customHeight="1" x14ac:dyDescent="0.2">
      <c r="A1057" s="78">
        <v>43211507</v>
      </c>
      <c r="B1057" s="64" t="str">
        <f t="shared" ca="1" si="64"/>
        <v>Computadores de escritorio</v>
      </c>
      <c r="C1057" s="63" t="s">
        <v>1449</v>
      </c>
      <c r="D1057" s="63">
        <v>4</v>
      </c>
      <c r="E1057" s="66">
        <v>13000</v>
      </c>
      <c r="F1057" s="65">
        <f t="shared" ca="1" si="65"/>
        <v>52000</v>
      </c>
      <c r="G1057" s="5"/>
      <c r="H1057" s="5"/>
      <c r="I1057" s="5"/>
      <c r="J1057" s="5"/>
    </row>
    <row r="1058" spans="1:10" ht="13.5" customHeight="1" x14ac:dyDescent="0.2">
      <c r="A1058" s="78">
        <v>43211508</v>
      </c>
      <c r="B1058" s="64" t="str">
        <f t="shared" ca="1" si="64"/>
        <v>Computadores personales</v>
      </c>
      <c r="C1058" s="63" t="s">
        <v>1449</v>
      </c>
      <c r="D1058" s="63">
        <v>6</v>
      </c>
      <c r="E1058" s="66">
        <v>12000</v>
      </c>
      <c r="F1058" s="65">
        <f t="shared" ca="1" si="65"/>
        <v>72000</v>
      </c>
      <c r="G1058" s="5"/>
      <c r="H1058" s="5"/>
      <c r="I1058" s="5"/>
      <c r="J1058" s="5"/>
    </row>
    <row r="1059" spans="1:10" ht="13.5" customHeight="1" x14ac:dyDescent="0.2">
      <c r="A1059" s="78">
        <v>43212105</v>
      </c>
      <c r="B1059" s="64" t="str">
        <f t="shared" ca="1" si="64"/>
        <v>Impresoras láser</v>
      </c>
      <c r="C1059" s="63" t="s">
        <v>1449</v>
      </c>
      <c r="D1059" s="63">
        <v>2</v>
      </c>
      <c r="E1059" s="66">
        <v>14000</v>
      </c>
      <c r="F1059" s="65">
        <f t="shared" ca="1" si="65"/>
        <v>28000</v>
      </c>
      <c r="G1059" s="5"/>
      <c r="H1059" s="5"/>
      <c r="I1059" s="5"/>
      <c r="J1059" s="5"/>
    </row>
    <row r="1060" spans="1:10" ht="13.5" customHeight="1" x14ac:dyDescent="0.2">
      <c r="A1060" s="78">
        <v>43211607</v>
      </c>
      <c r="B1060" s="64" t="str">
        <f t="shared" ca="1" si="64"/>
        <v>Parlantes de computador</v>
      </c>
      <c r="C1060" s="63" t="s">
        <v>1449</v>
      </c>
      <c r="D1060" s="63">
        <v>1</v>
      </c>
      <c r="E1060" s="66">
        <v>400</v>
      </c>
      <c r="F1060" s="65">
        <f t="shared" ca="1" si="65"/>
        <v>400</v>
      </c>
      <c r="G1060" s="5"/>
      <c r="H1060" s="5"/>
      <c r="I1060" s="5"/>
      <c r="J1060" s="5"/>
    </row>
    <row r="1061" spans="1:10" ht="13.5" customHeight="1" x14ac:dyDescent="0.2">
      <c r="A1061" s="78">
        <v>43201809</v>
      </c>
      <c r="B1061" s="64" t="str">
        <f t="shared" ca="1" si="64"/>
        <v>Disco compacto cd de lectura y escritura</v>
      </c>
      <c r="C1061" s="63" t="s">
        <v>1327</v>
      </c>
      <c r="D1061" s="63">
        <v>40</v>
      </c>
      <c r="E1061" s="66">
        <v>550</v>
      </c>
      <c r="F1061" s="65">
        <f t="shared" ca="1" si="65"/>
        <v>22000</v>
      </c>
      <c r="G1061" s="5"/>
      <c r="H1061" s="5"/>
      <c r="I1061" s="5"/>
      <c r="J1061" s="5"/>
    </row>
    <row r="1062" spans="1:10" ht="13.5" customHeight="1" x14ac:dyDescent="0.2">
      <c r="A1062" s="78">
        <v>43201811</v>
      </c>
      <c r="B1062" s="64" t="str">
        <f t="shared" ca="1" si="64"/>
        <v>Disco versátil digital dvd de lectura y escritura</v>
      </c>
      <c r="C1062" s="63" t="s">
        <v>1327</v>
      </c>
      <c r="D1062" s="63">
        <v>49</v>
      </c>
      <c r="E1062" s="66">
        <v>550</v>
      </c>
      <c r="F1062" s="65">
        <f t="shared" ca="1" si="65"/>
        <v>26950</v>
      </c>
      <c r="G1062" s="5"/>
      <c r="H1062" s="5"/>
      <c r="I1062" s="5"/>
      <c r="J1062" s="5"/>
    </row>
    <row r="1063" spans="1:10" ht="13.5" customHeight="1" x14ac:dyDescent="0.2">
      <c r="A1063" s="78">
        <v>26121609</v>
      </c>
      <c r="B1063" s="64" t="str">
        <f t="shared" ca="1" si="64"/>
        <v>Cable de redes</v>
      </c>
      <c r="C1063" s="63" t="s">
        <v>16988</v>
      </c>
      <c r="D1063" s="63">
        <v>1</v>
      </c>
      <c r="E1063" s="66">
        <v>3900</v>
      </c>
      <c r="F1063" s="65">
        <f t="shared" ca="1" si="65"/>
        <v>3900</v>
      </c>
      <c r="G1063" s="5"/>
      <c r="H1063" s="5"/>
      <c r="I1063" s="5"/>
      <c r="J1063" s="5"/>
    </row>
    <row r="1064" spans="1:10" ht="13.5" customHeight="1" x14ac:dyDescent="0.2">
      <c r="A1064" s="78">
        <v>41113711</v>
      </c>
      <c r="B1064" s="64" t="str">
        <f t="shared" ca="1" si="64"/>
        <v>Analizadores de red</v>
      </c>
      <c r="C1064" s="63" t="s">
        <v>1449</v>
      </c>
      <c r="D1064" s="63">
        <v>1</v>
      </c>
      <c r="E1064" s="66">
        <v>2000</v>
      </c>
      <c r="F1064" s="65">
        <f t="shared" ca="1" si="65"/>
        <v>2000</v>
      </c>
      <c r="G1064" s="5"/>
      <c r="H1064" s="5"/>
      <c r="I1064" s="5"/>
      <c r="J1064" s="5"/>
    </row>
    <row r="1065" spans="1:10" ht="13.5" customHeight="1" x14ac:dyDescent="0.2">
      <c r="A1065" s="78">
        <v>39121705</v>
      </c>
      <c r="B1065" s="64" t="str">
        <f t="shared" ca="1" si="64"/>
        <v>Grapas para cables</v>
      </c>
      <c r="C1065" s="63" t="s">
        <v>4735</v>
      </c>
      <c r="D1065" s="63">
        <v>2</v>
      </c>
      <c r="E1065" s="66">
        <v>500</v>
      </c>
      <c r="F1065" s="65">
        <f t="shared" ca="1" si="65"/>
        <v>1000</v>
      </c>
      <c r="G1065" s="5"/>
      <c r="H1065" s="5"/>
      <c r="I1065" s="5"/>
      <c r="J1065" s="5"/>
    </row>
    <row r="1066" spans="1:10" ht="13.5" customHeight="1" x14ac:dyDescent="0.2">
      <c r="A1066" s="78">
        <v>26121620</v>
      </c>
      <c r="B1066" s="64" t="str">
        <f t="shared" ca="1" si="64"/>
        <v>Cable para interconexiones</v>
      </c>
      <c r="C1066" s="63" t="s">
        <v>4735</v>
      </c>
      <c r="D1066" s="63">
        <v>2</v>
      </c>
      <c r="E1066" s="66">
        <v>2800</v>
      </c>
      <c r="F1066" s="65">
        <f t="shared" ca="1" si="65"/>
        <v>5600</v>
      </c>
      <c r="G1066" s="5"/>
      <c r="H1066" s="5"/>
      <c r="I1066" s="5"/>
      <c r="J1066" s="5"/>
    </row>
    <row r="1067" spans="1:10" ht="13.5" customHeight="1" x14ac:dyDescent="0.2">
      <c r="A1067" s="78">
        <v>43201803</v>
      </c>
      <c r="B1067" s="64" t="str">
        <f t="shared" ca="1" si="64"/>
        <v>Unidades de disco duro</v>
      </c>
      <c r="C1067" s="63" t="s">
        <v>1449</v>
      </c>
      <c r="D1067" s="63">
        <v>1</v>
      </c>
      <c r="E1067" s="66">
        <v>3000</v>
      </c>
      <c r="F1067" s="65">
        <f t="shared" ca="1" si="65"/>
        <v>3000</v>
      </c>
      <c r="G1067" s="5"/>
      <c r="H1067" s="5"/>
      <c r="I1067" s="5"/>
      <c r="J1067" s="5"/>
    </row>
    <row r="1068" spans="1:10" ht="13.5" customHeight="1" x14ac:dyDescent="0.2">
      <c r="A1068" s="78">
        <v>32101622</v>
      </c>
      <c r="B1068" s="64" t="str">
        <f t="shared" ca="1" si="64"/>
        <v>Memoria flash</v>
      </c>
      <c r="C1068" s="63" t="s">
        <v>1449</v>
      </c>
      <c r="D1068" s="63">
        <v>4</v>
      </c>
      <c r="E1068" s="66">
        <v>1000</v>
      </c>
      <c r="F1068" s="65">
        <f t="shared" ca="1" si="65"/>
        <v>4000</v>
      </c>
      <c r="G1068" s="5"/>
      <c r="H1068" s="5"/>
      <c r="I1068" s="5"/>
      <c r="J1068" s="5"/>
    </row>
    <row r="1069" spans="1:10" ht="13.5" customHeight="1" x14ac:dyDescent="0.2">
      <c r="A1069" s="78">
        <v>27112801</v>
      </c>
      <c r="B1069" s="64" t="str">
        <f t="shared" ca="1" si="64"/>
        <v>Brocas</v>
      </c>
      <c r="C1069" s="63" t="s">
        <v>1449</v>
      </c>
      <c r="D1069" s="63">
        <v>20</v>
      </c>
      <c r="E1069" s="66">
        <v>100</v>
      </c>
      <c r="F1069" s="65">
        <f t="shared" ca="1" si="65"/>
        <v>2000</v>
      </c>
      <c r="G1069" s="5"/>
      <c r="H1069" s="5"/>
      <c r="I1069" s="5"/>
      <c r="J1069" s="5"/>
    </row>
    <row r="1070" spans="1:10" ht="14.1" customHeight="1" x14ac:dyDescent="0.2">
      <c r="A1070" s="5"/>
      <c r="B1070" s="5"/>
      <c r="C1070" s="5"/>
      <c r="D1070" s="5"/>
      <c r="E1070" s="68" t="s">
        <v>12550</v>
      </c>
      <c r="F1070" s="69">
        <f ca="1">SUM(Table357[MONTO TOTAL ESTIMADO])</f>
        <v>250850</v>
      </c>
      <c r="G1070" s="5"/>
      <c r="H1070" s="5" t="str">
        <f>C1048</f>
        <v>Bienes</v>
      </c>
      <c r="I1070" s="5" t="str">
        <f>E1048</f>
        <v>Sí</v>
      </c>
      <c r="J1070" s="5" t="str">
        <f>D1048</f>
        <v>Compras Menores</v>
      </c>
    </row>
    <row r="1071" spans="1:10" ht="14.1" customHeight="1" thickBot="1" x14ac:dyDescent="0.3"/>
    <row r="1072" spans="1:10" ht="33.75" customHeight="1" thickBot="1" x14ac:dyDescent="0.25">
      <c r="A1072" s="59" t="s">
        <v>16382</v>
      </c>
      <c r="B1072" s="59" t="s">
        <v>161</v>
      </c>
      <c r="C1072" s="59" t="s">
        <v>11724</v>
      </c>
      <c r="D1072" s="59" t="s">
        <v>14378</v>
      </c>
      <c r="E1072" s="59" t="s">
        <v>10962</v>
      </c>
      <c r="F1072" s="59" t="s">
        <v>11095</v>
      </c>
      <c r="G1072" s="5"/>
      <c r="H1072" s="5"/>
      <c r="I1072" s="5"/>
      <c r="J1072" s="5"/>
    </row>
    <row r="1073" spans="1:10" ht="13.5" customHeight="1" thickBot="1" x14ac:dyDescent="0.25">
      <c r="A1073" s="77" t="s">
        <v>18860</v>
      </c>
      <c r="B1073" s="77" t="s">
        <v>18861</v>
      </c>
      <c r="C1073" s="61" t="s">
        <v>17797</v>
      </c>
      <c r="D1073" s="61" t="s">
        <v>17482</v>
      </c>
      <c r="E1073" s="61" t="s">
        <v>8854</v>
      </c>
      <c r="F1073" s="61"/>
      <c r="G1073" s="5"/>
      <c r="H1073" s="5"/>
      <c r="I1073" s="5"/>
      <c r="J1073" s="5"/>
    </row>
    <row r="1074" spans="1:10" ht="14.1" customHeight="1" thickBot="1" x14ac:dyDescent="0.25">
      <c r="A1074" s="82" t="s">
        <v>14828</v>
      </c>
      <c r="B1074" s="62" t="s">
        <v>8528</v>
      </c>
      <c r="C1074" s="71">
        <v>44105</v>
      </c>
      <c r="D1074" s="82" t="s">
        <v>9385</v>
      </c>
      <c r="E1074" s="62" t="s">
        <v>13093</v>
      </c>
      <c r="F1074" s="61" t="s">
        <v>3080</v>
      </c>
      <c r="G1074" s="5"/>
      <c r="H1074" s="5"/>
      <c r="I1074" s="5"/>
      <c r="J1074" s="5"/>
    </row>
    <row r="1075" spans="1:10" ht="14.1" customHeight="1" thickBot="1" x14ac:dyDescent="0.25">
      <c r="A1075" s="83"/>
      <c r="B1075" s="62" t="s">
        <v>1786</v>
      </c>
      <c r="C1075" s="60">
        <f>IF(C1074="","",IF(AND(MONTH(C1074)&gt;=1,MONTH(C1074)&lt;=3),1,IF(AND(MONTH(C1074)&gt;=4,MONTH(C1074)&lt;=6),2,IF(AND(MONTH(C1074)&gt;=7,MONTH(C1074)&lt;=9),3,4))))</f>
        <v>4</v>
      </c>
      <c r="D1075" s="83"/>
      <c r="E1075" s="62" t="s">
        <v>2417</v>
      </c>
      <c r="F1075" s="61" t="s">
        <v>11112</v>
      </c>
      <c r="G1075" s="5"/>
      <c r="H1075" s="5"/>
      <c r="I1075" s="5"/>
      <c r="J1075" s="5"/>
    </row>
    <row r="1076" spans="1:10" ht="14.1" customHeight="1" thickBot="1" x14ac:dyDescent="0.25">
      <c r="A1076" s="83"/>
      <c r="B1076" s="62" t="s">
        <v>12942</v>
      </c>
      <c r="C1076" s="71">
        <v>44196</v>
      </c>
      <c r="D1076" s="83"/>
      <c r="E1076" s="62" t="s">
        <v>3073</v>
      </c>
      <c r="F1076" s="61" t="s">
        <v>11112</v>
      </c>
      <c r="G1076" s="5"/>
      <c r="H1076" s="5"/>
      <c r="I1076" s="5"/>
      <c r="J1076" s="5"/>
    </row>
    <row r="1077" spans="1:10" ht="14.1" customHeight="1" thickBot="1" x14ac:dyDescent="0.25">
      <c r="A1077" s="83"/>
      <c r="B1077" s="62" t="s">
        <v>1786</v>
      </c>
      <c r="C1077" s="60">
        <f>IF(C1076="","",IF(AND(MONTH(C1076)&gt;=1,MONTH(C1076)&lt;=3),1,IF(AND(MONTH(C1076)&gt;=4,MONTH(C1076)&lt;=6),2,IF(AND(MONTH(C1076)&gt;=7,MONTH(C1076)&lt;=9),3,4))))</f>
        <v>4</v>
      </c>
      <c r="D1077" s="83"/>
      <c r="E1077" s="62" t="s">
        <v>13192</v>
      </c>
      <c r="F1077" s="61" t="s">
        <v>11112</v>
      </c>
      <c r="G1077" s="5"/>
      <c r="H1077" s="5"/>
      <c r="I1077" s="5"/>
      <c r="J1077" s="5"/>
    </row>
    <row r="1078" spans="1:10" ht="14.1" customHeight="1" thickBot="1" x14ac:dyDescent="0.25">
      <c r="A1078" s="5"/>
      <c r="B1078" s="5"/>
      <c r="C1078" s="5"/>
      <c r="D1078" s="5"/>
      <c r="E1078" s="5"/>
      <c r="F1078" s="5"/>
      <c r="G1078" s="5"/>
      <c r="H1078" s="5"/>
      <c r="I1078" s="5"/>
      <c r="J1078" s="5"/>
    </row>
    <row r="1079" spans="1:10" ht="14.1" customHeight="1" thickBot="1" x14ac:dyDescent="0.25">
      <c r="A1079" s="67" t="s">
        <v>15735</v>
      </c>
      <c r="B1079" s="67" t="s">
        <v>16146</v>
      </c>
      <c r="C1079" s="67" t="s">
        <v>15641</v>
      </c>
      <c r="D1079" s="67" t="s">
        <v>15251</v>
      </c>
      <c r="E1079" s="67" t="s">
        <v>6932</v>
      </c>
      <c r="F1079" s="67" t="s">
        <v>15280</v>
      </c>
      <c r="G1079" s="5"/>
      <c r="H1079" s="5"/>
      <c r="I1079" s="5"/>
      <c r="J1079" s="5"/>
    </row>
    <row r="1080" spans="1:10" ht="13.5" customHeight="1" x14ac:dyDescent="0.2">
      <c r="A1080" s="78">
        <v>43211706</v>
      </c>
      <c r="B1080" s="64" t="str">
        <f t="shared" ref="B1080:B1089" ca="1" si="66">IFERROR(INDEX(UNSPSCDes,MATCH(INDIRECT(ADDRESS(ROW(),COLUMN()-1,4)),UNSPSCCode,0)),"")</f>
        <v>Teclados</v>
      </c>
      <c r="C1080" s="63" t="s">
        <v>1449</v>
      </c>
      <c r="D1080" s="63">
        <v>16</v>
      </c>
      <c r="E1080" s="66">
        <v>1000</v>
      </c>
      <c r="F1080" s="65">
        <f t="shared" ref="F1080:F1089" ca="1" si="67">INDIRECT(ADDRESS(ROW(),COLUMN()-2,4))*INDIRECT(ADDRESS(ROW(),COLUMN()-1,4))</f>
        <v>16000</v>
      </c>
      <c r="G1080" s="5"/>
      <c r="H1080" s="5"/>
      <c r="I1080" s="5"/>
      <c r="J1080" s="5"/>
    </row>
    <row r="1081" spans="1:10" ht="13.5" customHeight="1" x14ac:dyDescent="0.2">
      <c r="A1081" s="78">
        <v>43211708</v>
      </c>
      <c r="B1081" s="64" t="str">
        <f t="shared" ca="1" si="66"/>
        <v>Mouse o bola de seguimiento para computador</v>
      </c>
      <c r="C1081" s="63" t="s">
        <v>1449</v>
      </c>
      <c r="D1081" s="63">
        <v>15</v>
      </c>
      <c r="E1081" s="66">
        <v>400</v>
      </c>
      <c r="F1081" s="65">
        <f t="shared" ca="1" si="67"/>
        <v>6000</v>
      </c>
      <c r="G1081" s="5"/>
      <c r="H1081" s="5"/>
      <c r="I1081" s="5"/>
      <c r="J1081" s="5"/>
    </row>
    <row r="1082" spans="1:10" ht="13.5" customHeight="1" x14ac:dyDescent="0.2">
      <c r="A1082" s="78">
        <v>43211507</v>
      </c>
      <c r="B1082" s="64" t="str">
        <f t="shared" ca="1" si="66"/>
        <v>Computadores de escritorio</v>
      </c>
      <c r="C1082" s="63" t="s">
        <v>1449</v>
      </c>
      <c r="D1082" s="63">
        <v>2</v>
      </c>
      <c r="E1082" s="66">
        <v>13000</v>
      </c>
      <c r="F1082" s="65">
        <f t="shared" ca="1" si="67"/>
        <v>26000</v>
      </c>
      <c r="G1082" s="5"/>
      <c r="H1082" s="5"/>
      <c r="I1082" s="5"/>
      <c r="J1082" s="5"/>
    </row>
    <row r="1083" spans="1:10" ht="13.5" customHeight="1" x14ac:dyDescent="0.2">
      <c r="A1083" s="78">
        <v>43211508</v>
      </c>
      <c r="B1083" s="64" t="str">
        <f t="shared" ca="1" si="66"/>
        <v>Computadores personales</v>
      </c>
      <c r="C1083" s="63" t="s">
        <v>1449</v>
      </c>
      <c r="D1083" s="63">
        <v>2</v>
      </c>
      <c r="E1083" s="66">
        <v>12000</v>
      </c>
      <c r="F1083" s="65">
        <f t="shared" ca="1" si="67"/>
        <v>24000</v>
      </c>
      <c r="G1083" s="5"/>
      <c r="H1083" s="5"/>
      <c r="I1083" s="5"/>
      <c r="J1083" s="5"/>
    </row>
    <row r="1084" spans="1:10" ht="13.5" customHeight="1" x14ac:dyDescent="0.2">
      <c r="A1084" s="78">
        <v>43211607</v>
      </c>
      <c r="B1084" s="64" t="str">
        <f t="shared" ca="1" si="66"/>
        <v>Parlantes de computador</v>
      </c>
      <c r="C1084" s="63" t="s">
        <v>1449</v>
      </c>
      <c r="D1084" s="63">
        <v>1</v>
      </c>
      <c r="E1084" s="66">
        <v>400</v>
      </c>
      <c r="F1084" s="65">
        <f t="shared" ca="1" si="67"/>
        <v>400</v>
      </c>
      <c r="G1084" s="5"/>
      <c r="H1084" s="5"/>
      <c r="I1084" s="5"/>
      <c r="J1084" s="5"/>
    </row>
    <row r="1085" spans="1:10" ht="13.5" customHeight="1" x14ac:dyDescent="0.2">
      <c r="A1085" s="78">
        <v>43201809</v>
      </c>
      <c r="B1085" s="64" t="str">
        <f t="shared" ca="1" si="66"/>
        <v>Disco compacto cd de lectura y escritura</v>
      </c>
      <c r="C1085" s="63" t="s">
        <v>1327</v>
      </c>
      <c r="D1085" s="63">
        <v>51</v>
      </c>
      <c r="E1085" s="66">
        <v>550</v>
      </c>
      <c r="F1085" s="65">
        <f t="shared" ca="1" si="67"/>
        <v>28050</v>
      </c>
      <c r="G1085" s="5"/>
      <c r="H1085" s="5"/>
      <c r="I1085" s="5"/>
      <c r="J1085" s="5"/>
    </row>
    <row r="1086" spans="1:10" ht="13.5" customHeight="1" x14ac:dyDescent="0.2">
      <c r="A1086" s="78">
        <v>43201811</v>
      </c>
      <c r="B1086" s="64" t="str">
        <f t="shared" ca="1" si="66"/>
        <v>Disco versátil digital dvd de lectura y escritura</v>
      </c>
      <c r="C1086" s="63" t="s">
        <v>1327</v>
      </c>
      <c r="D1086" s="63">
        <v>51</v>
      </c>
      <c r="E1086" s="66">
        <v>550</v>
      </c>
      <c r="F1086" s="65">
        <f t="shared" ca="1" si="67"/>
        <v>28050</v>
      </c>
      <c r="G1086" s="5"/>
      <c r="H1086" s="5"/>
      <c r="I1086" s="5"/>
      <c r="J1086" s="5"/>
    </row>
    <row r="1087" spans="1:10" ht="13.5" customHeight="1" x14ac:dyDescent="0.2">
      <c r="A1087" s="78">
        <v>26121609</v>
      </c>
      <c r="B1087" s="64" t="str">
        <f t="shared" ca="1" si="66"/>
        <v>Cable de redes</v>
      </c>
      <c r="C1087" s="63" t="s">
        <v>16988</v>
      </c>
      <c r="D1087" s="63">
        <v>1</v>
      </c>
      <c r="E1087" s="66">
        <v>3900</v>
      </c>
      <c r="F1087" s="65">
        <f t="shared" ca="1" si="67"/>
        <v>3900</v>
      </c>
      <c r="G1087" s="5"/>
      <c r="H1087" s="5"/>
      <c r="I1087" s="5"/>
      <c r="J1087" s="5"/>
    </row>
    <row r="1088" spans="1:10" ht="13.5" customHeight="1" x14ac:dyDescent="0.2">
      <c r="A1088" s="78">
        <v>43201803</v>
      </c>
      <c r="B1088" s="64" t="str">
        <f t="shared" ca="1" si="66"/>
        <v>Unidades de disco duro</v>
      </c>
      <c r="C1088" s="63" t="s">
        <v>1449</v>
      </c>
      <c r="D1088" s="63">
        <v>11</v>
      </c>
      <c r="E1088" s="66">
        <v>3000</v>
      </c>
      <c r="F1088" s="65">
        <f t="shared" ca="1" si="67"/>
        <v>33000</v>
      </c>
      <c r="G1088" s="5"/>
      <c r="H1088" s="5"/>
      <c r="I1088" s="5"/>
      <c r="J1088" s="5"/>
    </row>
    <row r="1089" spans="1:10" ht="13.5" customHeight="1" x14ac:dyDescent="0.2">
      <c r="A1089" s="78">
        <v>43212105</v>
      </c>
      <c r="B1089" s="64" t="str">
        <f t="shared" ca="1" si="66"/>
        <v>Impresoras láser</v>
      </c>
      <c r="C1089" s="63" t="s">
        <v>1449</v>
      </c>
      <c r="D1089" s="63">
        <v>5</v>
      </c>
      <c r="E1089" s="66">
        <v>14000</v>
      </c>
      <c r="F1089" s="65">
        <f t="shared" ca="1" si="67"/>
        <v>70000</v>
      </c>
      <c r="G1089" s="5"/>
      <c r="H1089" s="5"/>
      <c r="I1089" s="5"/>
      <c r="J1089" s="5"/>
    </row>
    <row r="1090" spans="1:10" ht="14.1" customHeight="1" x14ac:dyDescent="0.2">
      <c r="A1090" s="5"/>
      <c r="B1090" s="5"/>
      <c r="C1090" s="5"/>
      <c r="D1090" s="5"/>
      <c r="E1090" s="68" t="s">
        <v>12550</v>
      </c>
      <c r="F1090" s="69">
        <f ca="1">SUM(Table358[MONTO TOTAL ESTIMADO])</f>
        <v>235400</v>
      </c>
      <c r="G1090" s="5"/>
      <c r="H1090" s="5" t="str">
        <f>C1073</f>
        <v>Bienes</v>
      </c>
      <c r="I1090" s="5" t="str">
        <f>E1073</f>
        <v>Sí</v>
      </c>
      <c r="J1090" s="5" t="str">
        <f>D1073</f>
        <v>Compras Menores</v>
      </c>
    </row>
    <row r="1091" spans="1:10" ht="14.1" customHeight="1" thickBot="1" x14ac:dyDescent="0.3"/>
    <row r="1092" spans="1:10" ht="33.75" customHeight="1" thickBot="1" x14ac:dyDescent="0.25">
      <c r="A1092" s="59" t="s">
        <v>16382</v>
      </c>
      <c r="B1092" s="59" t="s">
        <v>161</v>
      </c>
      <c r="C1092" s="59" t="s">
        <v>11724</v>
      </c>
      <c r="D1092" s="59" t="s">
        <v>14378</v>
      </c>
      <c r="E1092" s="59" t="s">
        <v>10962</v>
      </c>
      <c r="F1092" s="59" t="s">
        <v>11095</v>
      </c>
      <c r="G1092" s="5"/>
      <c r="H1092" s="5"/>
      <c r="I1092" s="5"/>
      <c r="J1092" s="5"/>
    </row>
    <row r="1093" spans="1:10" ht="13.5" customHeight="1" thickBot="1" x14ac:dyDescent="0.25">
      <c r="A1093" s="77" t="s">
        <v>18863</v>
      </c>
      <c r="B1093" s="77" t="s">
        <v>18862</v>
      </c>
      <c r="C1093" s="61" t="s">
        <v>17797</v>
      </c>
      <c r="D1093" s="61" t="s">
        <v>10171</v>
      </c>
      <c r="E1093" s="61" t="s">
        <v>8854</v>
      </c>
      <c r="F1093" s="61"/>
      <c r="G1093" s="5"/>
      <c r="H1093" s="5"/>
      <c r="I1093" s="5"/>
      <c r="J1093" s="5"/>
    </row>
    <row r="1094" spans="1:10" ht="14.1" customHeight="1" thickBot="1" x14ac:dyDescent="0.25">
      <c r="A1094" s="82" t="s">
        <v>14828</v>
      </c>
      <c r="B1094" s="62" t="s">
        <v>8528</v>
      </c>
      <c r="C1094" s="71">
        <v>43831</v>
      </c>
      <c r="D1094" s="82" t="s">
        <v>9385</v>
      </c>
      <c r="E1094" s="62" t="s">
        <v>13093</v>
      </c>
      <c r="F1094" s="61" t="s">
        <v>3080</v>
      </c>
      <c r="G1094" s="5"/>
      <c r="H1094" s="5"/>
      <c r="I1094" s="5"/>
      <c r="J1094" s="5"/>
    </row>
    <row r="1095" spans="1:10" ht="14.1" customHeight="1" thickBot="1" x14ac:dyDescent="0.25">
      <c r="A1095" s="83"/>
      <c r="B1095" s="62" t="s">
        <v>1786</v>
      </c>
      <c r="C1095" s="60">
        <f>IF(C1094="","",IF(AND(MONTH(C1094)&gt;=1,MONTH(C1094)&lt;=3),1,IF(AND(MONTH(C1094)&gt;=4,MONTH(C1094)&lt;=6),2,IF(AND(MONTH(C1094)&gt;=7,MONTH(C1094)&lt;=9),3,4))))</f>
        <v>1</v>
      </c>
      <c r="D1095" s="83"/>
      <c r="E1095" s="62" t="s">
        <v>2417</v>
      </c>
      <c r="F1095" s="61" t="s">
        <v>11112</v>
      </c>
      <c r="G1095" s="5"/>
      <c r="H1095" s="5"/>
      <c r="I1095" s="5"/>
      <c r="J1095" s="5"/>
    </row>
    <row r="1096" spans="1:10" ht="14.1" customHeight="1" thickBot="1" x14ac:dyDescent="0.25">
      <c r="A1096" s="83"/>
      <c r="B1096" s="62" t="s">
        <v>12942</v>
      </c>
      <c r="C1096" s="71">
        <v>43921</v>
      </c>
      <c r="D1096" s="83"/>
      <c r="E1096" s="62" t="s">
        <v>3073</v>
      </c>
      <c r="F1096" s="61" t="s">
        <v>11112</v>
      </c>
      <c r="G1096" s="5"/>
      <c r="H1096" s="5"/>
      <c r="I1096" s="5"/>
      <c r="J1096" s="5"/>
    </row>
    <row r="1097" spans="1:10" ht="14.1" customHeight="1" thickBot="1" x14ac:dyDescent="0.25">
      <c r="A1097" s="83"/>
      <c r="B1097" s="62" t="s">
        <v>1786</v>
      </c>
      <c r="C1097" s="60">
        <f>IF(C1096="","",IF(AND(MONTH(C1096)&gt;=1,MONTH(C1096)&lt;=3),1,IF(AND(MONTH(C1096)&gt;=4,MONTH(C1096)&lt;=6),2,IF(AND(MONTH(C1096)&gt;=7,MONTH(C1096)&lt;=9),3,4))))</f>
        <v>1</v>
      </c>
      <c r="D1097" s="83"/>
      <c r="E1097" s="62" t="s">
        <v>13192</v>
      </c>
      <c r="F1097" s="61" t="s">
        <v>11112</v>
      </c>
      <c r="G1097" s="5"/>
      <c r="H1097" s="5"/>
      <c r="I1097" s="5"/>
      <c r="J1097" s="5"/>
    </row>
    <row r="1098" spans="1:10" ht="14.1" customHeight="1" thickBot="1" x14ac:dyDescent="0.25">
      <c r="A1098" s="5"/>
      <c r="B1098" s="5"/>
      <c r="C1098" s="5"/>
      <c r="D1098" s="5"/>
      <c r="E1098" s="5"/>
      <c r="F1098" s="5"/>
      <c r="G1098" s="5"/>
      <c r="H1098" s="5"/>
      <c r="I1098" s="5"/>
      <c r="J1098" s="5"/>
    </row>
    <row r="1099" spans="1:10" ht="14.1" customHeight="1" thickBot="1" x14ac:dyDescent="0.25">
      <c r="A1099" s="67" t="s">
        <v>15735</v>
      </c>
      <c r="B1099" s="67" t="s">
        <v>16146</v>
      </c>
      <c r="C1099" s="67" t="s">
        <v>15641</v>
      </c>
      <c r="D1099" s="67" t="s">
        <v>15251</v>
      </c>
      <c r="E1099" s="67" t="s">
        <v>6932</v>
      </c>
      <c r="F1099" s="67" t="s">
        <v>15280</v>
      </c>
      <c r="G1099" s="5"/>
      <c r="H1099" s="5"/>
      <c r="I1099" s="5"/>
      <c r="J1099" s="5"/>
    </row>
    <row r="1100" spans="1:10" ht="13.5" customHeight="1" x14ac:dyDescent="0.2">
      <c r="A1100" s="78">
        <v>52141504</v>
      </c>
      <c r="B1100" s="64" t="str">
        <f ca="1">IFERROR(INDEX(UNSPSCDes,MATCH(INDIRECT(ADDRESS(ROW(),COLUMN()-1,4)),UNSPSCCode,0)),"")</f>
        <v>Fogones para uso doméstico</v>
      </c>
      <c r="C1100" s="63" t="s">
        <v>1449</v>
      </c>
      <c r="D1100" s="63">
        <v>2</v>
      </c>
      <c r="E1100" s="66">
        <v>10000</v>
      </c>
      <c r="F1100" s="65">
        <f ca="1">INDIRECT(ADDRESS(ROW(),COLUMN()-2,4))*INDIRECT(ADDRESS(ROW(),COLUMN()-1,4))</f>
        <v>20000</v>
      </c>
      <c r="G1100" s="5"/>
      <c r="H1100" s="5"/>
      <c r="I1100" s="5"/>
      <c r="J1100" s="5"/>
    </row>
    <row r="1101" spans="1:10" ht="13.5" customHeight="1" x14ac:dyDescent="0.2">
      <c r="A1101" s="78">
        <v>52141501</v>
      </c>
      <c r="B1101" s="64" t="str">
        <f ca="1">IFERROR(INDEX(UNSPSCDes,MATCH(INDIRECT(ADDRESS(ROW(),COLUMN()-1,4)),UNSPSCCode,0)),"")</f>
        <v>Neveras para uso doméstico</v>
      </c>
      <c r="C1101" s="63" t="s">
        <v>1449</v>
      </c>
      <c r="D1101" s="63">
        <v>2</v>
      </c>
      <c r="E1101" s="66">
        <v>12000</v>
      </c>
      <c r="F1101" s="65">
        <f ca="1">INDIRECT(ADDRESS(ROW(),COLUMN()-2,4))*INDIRECT(ADDRESS(ROW(),COLUMN()-1,4))</f>
        <v>24000</v>
      </c>
      <c r="G1101" s="5"/>
      <c r="H1101" s="5"/>
      <c r="I1101" s="5"/>
      <c r="J1101" s="5"/>
    </row>
    <row r="1102" spans="1:10" ht="14.1" customHeight="1" x14ac:dyDescent="0.2">
      <c r="A1102" s="5"/>
      <c r="B1102" s="5"/>
      <c r="C1102" s="5"/>
      <c r="D1102" s="5"/>
      <c r="E1102" s="68" t="s">
        <v>12550</v>
      </c>
      <c r="F1102" s="69">
        <f ca="1">SUM(Table359[MONTO TOTAL ESTIMADO])</f>
        <v>44000</v>
      </c>
      <c r="G1102" s="5"/>
      <c r="H1102" s="5" t="str">
        <f>C1093</f>
        <v>Bienes</v>
      </c>
      <c r="I1102" s="5" t="str">
        <f>E1093</f>
        <v>Sí</v>
      </c>
      <c r="J1102" s="5" t="str">
        <f>D1093</f>
        <v>Compras por debajo del Umbral</v>
      </c>
    </row>
    <row r="1103" spans="1:10" ht="14.1" customHeight="1" thickBot="1" x14ac:dyDescent="0.3"/>
    <row r="1104" spans="1:10" ht="33.75" customHeight="1" thickBot="1" x14ac:dyDescent="0.25">
      <c r="A1104" s="59" t="s">
        <v>16382</v>
      </c>
      <c r="B1104" s="59" t="s">
        <v>161</v>
      </c>
      <c r="C1104" s="59" t="s">
        <v>11724</v>
      </c>
      <c r="D1104" s="59" t="s">
        <v>14378</v>
      </c>
      <c r="E1104" s="59" t="s">
        <v>10962</v>
      </c>
      <c r="F1104" s="59" t="s">
        <v>11095</v>
      </c>
      <c r="G1104" s="5"/>
      <c r="H1104" s="5"/>
      <c r="I1104" s="5"/>
      <c r="J1104" s="5"/>
    </row>
    <row r="1105" spans="1:10" ht="13.5" customHeight="1" thickBot="1" x14ac:dyDescent="0.25">
      <c r="A1105" s="77" t="s">
        <v>18863</v>
      </c>
      <c r="B1105" s="77" t="s">
        <v>18862</v>
      </c>
      <c r="C1105" s="61" t="s">
        <v>17797</v>
      </c>
      <c r="D1105" s="61" t="s">
        <v>10171</v>
      </c>
      <c r="E1105" s="61" t="s">
        <v>8854</v>
      </c>
      <c r="F1105" s="61"/>
      <c r="G1105" s="5"/>
      <c r="H1105" s="5"/>
      <c r="I1105" s="5"/>
      <c r="J1105" s="5"/>
    </row>
    <row r="1106" spans="1:10" ht="14.1" customHeight="1" thickBot="1" x14ac:dyDescent="0.25">
      <c r="A1106" s="82" t="s">
        <v>14828</v>
      </c>
      <c r="B1106" s="62" t="s">
        <v>8528</v>
      </c>
      <c r="C1106" s="71">
        <v>43922</v>
      </c>
      <c r="D1106" s="82" t="s">
        <v>9385</v>
      </c>
      <c r="E1106" s="62" t="s">
        <v>13093</v>
      </c>
      <c r="F1106" s="61" t="s">
        <v>3080</v>
      </c>
      <c r="G1106" s="5"/>
      <c r="H1106" s="5"/>
      <c r="I1106" s="5"/>
      <c r="J1106" s="5"/>
    </row>
    <row r="1107" spans="1:10" ht="14.1" customHeight="1" thickBot="1" x14ac:dyDescent="0.25">
      <c r="A1107" s="83"/>
      <c r="B1107" s="62" t="s">
        <v>1786</v>
      </c>
      <c r="C1107" s="60">
        <f>IF(C1106="","",IF(AND(MONTH(C1106)&gt;=1,MONTH(C1106)&lt;=3),1,IF(AND(MONTH(C1106)&gt;=4,MONTH(C1106)&lt;=6),2,IF(AND(MONTH(C1106)&gt;=7,MONTH(C1106)&lt;=9),3,4))))</f>
        <v>2</v>
      </c>
      <c r="D1107" s="83"/>
      <c r="E1107" s="62" t="s">
        <v>2417</v>
      </c>
      <c r="F1107" s="61" t="s">
        <v>11112</v>
      </c>
      <c r="G1107" s="5"/>
      <c r="H1107" s="5"/>
      <c r="I1107" s="5"/>
      <c r="J1107" s="5"/>
    </row>
    <row r="1108" spans="1:10" ht="14.1" customHeight="1" thickBot="1" x14ac:dyDescent="0.25">
      <c r="A1108" s="83"/>
      <c r="B1108" s="62" t="s">
        <v>12942</v>
      </c>
      <c r="C1108" s="71">
        <v>44012</v>
      </c>
      <c r="D1108" s="83"/>
      <c r="E1108" s="62" t="s">
        <v>3073</v>
      </c>
      <c r="F1108" s="61" t="s">
        <v>11112</v>
      </c>
      <c r="G1108" s="5"/>
      <c r="H1108" s="5"/>
      <c r="I1108" s="5"/>
      <c r="J1108" s="5"/>
    </row>
    <row r="1109" spans="1:10" ht="14.1" customHeight="1" thickBot="1" x14ac:dyDescent="0.25">
      <c r="A1109" s="83"/>
      <c r="B1109" s="62" t="s">
        <v>1786</v>
      </c>
      <c r="C1109" s="60">
        <f>IF(C1108="","",IF(AND(MONTH(C1108)&gt;=1,MONTH(C1108)&lt;=3),1,IF(AND(MONTH(C1108)&gt;=4,MONTH(C1108)&lt;=6),2,IF(AND(MONTH(C1108)&gt;=7,MONTH(C1108)&lt;=9),3,4))))</f>
        <v>2</v>
      </c>
      <c r="D1109" s="83"/>
      <c r="E1109" s="62" t="s">
        <v>13192</v>
      </c>
      <c r="F1109" s="61" t="s">
        <v>11112</v>
      </c>
      <c r="G1109" s="5"/>
      <c r="H1109" s="5"/>
      <c r="I1109" s="5"/>
      <c r="J1109" s="5"/>
    </row>
    <row r="1110" spans="1:10" ht="14.1" customHeight="1" thickBot="1" x14ac:dyDescent="0.25">
      <c r="A1110" s="5"/>
      <c r="B1110" s="5"/>
      <c r="C1110" s="5"/>
      <c r="D1110" s="5"/>
      <c r="E1110" s="5"/>
      <c r="F1110" s="5"/>
      <c r="G1110" s="5"/>
      <c r="H1110" s="5"/>
      <c r="I1110" s="5"/>
      <c r="J1110" s="5"/>
    </row>
    <row r="1111" spans="1:10" ht="14.1" customHeight="1" thickBot="1" x14ac:dyDescent="0.25">
      <c r="A1111" s="67" t="s">
        <v>15735</v>
      </c>
      <c r="B1111" s="67" t="s">
        <v>16146</v>
      </c>
      <c r="C1111" s="67" t="s">
        <v>15641</v>
      </c>
      <c r="D1111" s="67" t="s">
        <v>15251</v>
      </c>
      <c r="E1111" s="67" t="s">
        <v>6932</v>
      </c>
      <c r="F1111" s="67" t="s">
        <v>15280</v>
      </c>
      <c r="G1111" s="5"/>
      <c r="H1111" s="5"/>
      <c r="I1111" s="5"/>
      <c r="J1111" s="5"/>
    </row>
    <row r="1112" spans="1:10" ht="13.5" customHeight="1" x14ac:dyDescent="0.2">
      <c r="A1112" s="78">
        <v>52141502</v>
      </c>
      <c r="B1112" s="64" t="str">
        <f ca="1">IFERROR(INDEX(UNSPSCDes,MATCH(INDIRECT(ADDRESS(ROW(),COLUMN()-1,4)),UNSPSCCode,0)),"")</f>
        <v>Hornos microondas para uso doméstico</v>
      </c>
      <c r="C1112" s="63" t="s">
        <v>1449</v>
      </c>
      <c r="D1112" s="63">
        <v>1</v>
      </c>
      <c r="E1112" s="66">
        <v>5125</v>
      </c>
      <c r="F1112" s="65">
        <f ca="1">INDIRECT(ADDRESS(ROW(),COLUMN()-2,4))*INDIRECT(ADDRESS(ROW(),COLUMN()-1,4))</f>
        <v>5125</v>
      </c>
      <c r="G1112" s="5"/>
      <c r="H1112" s="5"/>
      <c r="I1112" s="5"/>
      <c r="J1112" s="5"/>
    </row>
    <row r="1113" spans="1:10" ht="13.5" customHeight="1" x14ac:dyDescent="0.2">
      <c r="A1113" s="78">
        <v>52141501</v>
      </c>
      <c r="B1113" s="64" t="str">
        <f ca="1">IFERROR(INDEX(UNSPSCDes,MATCH(INDIRECT(ADDRESS(ROW(),COLUMN()-1,4)),UNSPSCCode,0)),"")</f>
        <v>Neveras para uso doméstico</v>
      </c>
      <c r="C1113" s="63" t="s">
        <v>1449</v>
      </c>
      <c r="D1113" s="63">
        <v>2</v>
      </c>
      <c r="E1113" s="66">
        <v>12000</v>
      </c>
      <c r="F1113" s="65">
        <f ca="1">INDIRECT(ADDRESS(ROW(),COLUMN()-2,4))*INDIRECT(ADDRESS(ROW(),COLUMN()-1,4))</f>
        <v>24000</v>
      </c>
      <c r="G1113" s="5"/>
      <c r="H1113" s="5"/>
      <c r="I1113" s="5"/>
      <c r="J1113" s="5"/>
    </row>
    <row r="1114" spans="1:10" ht="14.1" customHeight="1" x14ac:dyDescent="0.2">
      <c r="A1114" s="5"/>
      <c r="B1114" s="5"/>
      <c r="C1114" s="5"/>
      <c r="D1114" s="5"/>
      <c r="E1114" s="68" t="s">
        <v>12550</v>
      </c>
      <c r="F1114" s="69">
        <f ca="1">SUM(Table360[MONTO TOTAL ESTIMADO])</f>
        <v>29125</v>
      </c>
      <c r="G1114" s="5"/>
      <c r="H1114" s="5" t="str">
        <f>C1105</f>
        <v>Bienes</v>
      </c>
      <c r="I1114" s="5" t="str">
        <f>E1105</f>
        <v>Sí</v>
      </c>
      <c r="J1114" s="5" t="str">
        <f>D1105</f>
        <v>Compras por debajo del Umbral</v>
      </c>
    </row>
    <row r="1115" spans="1:10" ht="14.1" customHeight="1" thickBot="1" x14ac:dyDescent="0.3"/>
    <row r="1116" spans="1:10" ht="33.75" customHeight="1" thickBot="1" x14ac:dyDescent="0.25">
      <c r="A1116" s="59" t="s">
        <v>16382</v>
      </c>
      <c r="B1116" s="59" t="s">
        <v>161</v>
      </c>
      <c r="C1116" s="59" t="s">
        <v>11724</v>
      </c>
      <c r="D1116" s="59" t="s">
        <v>14378</v>
      </c>
      <c r="E1116" s="59" t="s">
        <v>10962</v>
      </c>
      <c r="F1116" s="59" t="s">
        <v>11095</v>
      </c>
      <c r="G1116" s="5"/>
      <c r="H1116" s="5"/>
      <c r="I1116" s="5"/>
      <c r="J1116" s="5"/>
    </row>
    <row r="1117" spans="1:10" ht="13.5" customHeight="1" thickBot="1" x14ac:dyDescent="0.25">
      <c r="A1117" s="77" t="s">
        <v>18863</v>
      </c>
      <c r="B1117" s="77" t="s">
        <v>18862</v>
      </c>
      <c r="C1117" s="61" t="s">
        <v>17797</v>
      </c>
      <c r="D1117" s="61" t="s">
        <v>10171</v>
      </c>
      <c r="E1117" s="61" t="s">
        <v>8854</v>
      </c>
      <c r="F1117" s="61"/>
      <c r="G1117" s="5"/>
      <c r="H1117" s="5"/>
      <c r="I1117" s="5"/>
      <c r="J1117" s="5"/>
    </row>
    <row r="1118" spans="1:10" ht="14.1" customHeight="1" thickBot="1" x14ac:dyDescent="0.25">
      <c r="A1118" s="82" t="s">
        <v>14828</v>
      </c>
      <c r="B1118" s="62" t="s">
        <v>8528</v>
      </c>
      <c r="C1118" s="71">
        <v>44013</v>
      </c>
      <c r="D1118" s="82" t="s">
        <v>9385</v>
      </c>
      <c r="E1118" s="62" t="s">
        <v>13093</v>
      </c>
      <c r="F1118" s="61" t="s">
        <v>3080</v>
      </c>
      <c r="G1118" s="5"/>
      <c r="H1118" s="5"/>
      <c r="I1118" s="5"/>
      <c r="J1118" s="5"/>
    </row>
    <row r="1119" spans="1:10" ht="14.1" customHeight="1" thickBot="1" x14ac:dyDescent="0.25">
      <c r="A1119" s="83"/>
      <c r="B1119" s="62" t="s">
        <v>1786</v>
      </c>
      <c r="C1119" s="60">
        <f>IF(C1118="","",IF(AND(MONTH(C1118)&gt;=1,MONTH(C1118)&lt;=3),1,IF(AND(MONTH(C1118)&gt;=4,MONTH(C1118)&lt;=6),2,IF(AND(MONTH(C1118)&gt;=7,MONTH(C1118)&lt;=9),3,4))))</f>
        <v>3</v>
      </c>
      <c r="D1119" s="83"/>
      <c r="E1119" s="62" t="s">
        <v>2417</v>
      </c>
      <c r="F1119" s="61" t="s">
        <v>11112</v>
      </c>
      <c r="G1119" s="5"/>
      <c r="H1119" s="5"/>
      <c r="I1119" s="5"/>
      <c r="J1119" s="5"/>
    </row>
    <row r="1120" spans="1:10" ht="14.1" customHeight="1" thickBot="1" x14ac:dyDescent="0.25">
      <c r="A1120" s="83"/>
      <c r="B1120" s="62" t="s">
        <v>12942</v>
      </c>
      <c r="C1120" s="71">
        <v>44104</v>
      </c>
      <c r="D1120" s="83"/>
      <c r="E1120" s="62" t="s">
        <v>3073</v>
      </c>
      <c r="F1120" s="61" t="s">
        <v>11112</v>
      </c>
      <c r="G1120" s="5"/>
      <c r="H1120" s="5"/>
      <c r="I1120" s="5"/>
      <c r="J1120" s="5"/>
    </row>
    <row r="1121" spans="1:10" ht="14.1" customHeight="1" thickBot="1" x14ac:dyDescent="0.25">
      <c r="A1121" s="83"/>
      <c r="B1121" s="62" t="s">
        <v>1786</v>
      </c>
      <c r="C1121" s="60">
        <f>IF(C1120="","",IF(AND(MONTH(C1120)&gt;=1,MONTH(C1120)&lt;=3),1,IF(AND(MONTH(C1120)&gt;=4,MONTH(C1120)&lt;=6),2,IF(AND(MONTH(C1120)&gt;=7,MONTH(C1120)&lt;=9),3,4))))</f>
        <v>3</v>
      </c>
      <c r="D1121" s="83"/>
      <c r="E1121" s="62" t="s">
        <v>13192</v>
      </c>
      <c r="F1121" s="61" t="s">
        <v>11112</v>
      </c>
      <c r="G1121" s="5"/>
      <c r="H1121" s="5"/>
      <c r="I1121" s="5"/>
      <c r="J1121" s="5"/>
    </row>
    <row r="1122" spans="1:10" ht="14.1" customHeight="1" thickBot="1" x14ac:dyDescent="0.25">
      <c r="A1122" s="5"/>
      <c r="B1122" s="5"/>
      <c r="C1122" s="5"/>
      <c r="D1122" s="5"/>
      <c r="E1122" s="5"/>
      <c r="F1122" s="5"/>
      <c r="G1122" s="5"/>
      <c r="H1122" s="5"/>
      <c r="I1122" s="5"/>
      <c r="J1122" s="5"/>
    </row>
    <row r="1123" spans="1:10" ht="14.1" customHeight="1" thickBot="1" x14ac:dyDescent="0.25">
      <c r="A1123" s="67" t="s">
        <v>15735</v>
      </c>
      <c r="B1123" s="67" t="s">
        <v>16146</v>
      </c>
      <c r="C1123" s="67" t="s">
        <v>15641</v>
      </c>
      <c r="D1123" s="67" t="s">
        <v>15251</v>
      </c>
      <c r="E1123" s="67" t="s">
        <v>6932</v>
      </c>
      <c r="F1123" s="67" t="s">
        <v>15280</v>
      </c>
      <c r="G1123" s="5"/>
      <c r="H1123" s="5"/>
      <c r="I1123" s="5"/>
      <c r="J1123" s="5"/>
    </row>
    <row r="1124" spans="1:10" ht="13.5" customHeight="1" x14ac:dyDescent="0.2">
      <c r="A1124" s="78">
        <v>52141504</v>
      </c>
      <c r="B1124" s="64" t="str">
        <f ca="1">IFERROR(INDEX(UNSPSCDes,MATCH(INDIRECT(ADDRESS(ROW(),COLUMN()-1,4)),UNSPSCCode,0)),"")</f>
        <v>Fogones para uso doméstico</v>
      </c>
      <c r="C1124" s="63" t="s">
        <v>1449</v>
      </c>
      <c r="D1124" s="63">
        <v>1</v>
      </c>
      <c r="E1124" s="66">
        <v>10000</v>
      </c>
      <c r="F1124" s="65">
        <f ca="1">INDIRECT(ADDRESS(ROW(),COLUMN()-2,4))*INDIRECT(ADDRESS(ROW(),COLUMN()-1,4))</f>
        <v>10000</v>
      </c>
      <c r="G1124" s="5"/>
      <c r="H1124" s="5"/>
      <c r="I1124" s="5"/>
      <c r="J1124" s="5"/>
    </row>
    <row r="1125" spans="1:10" ht="13.5" customHeight="1" x14ac:dyDescent="0.2">
      <c r="A1125" s="78">
        <v>52141524</v>
      </c>
      <c r="B1125" s="64" t="str">
        <f ca="1">IFERROR(INDEX(UNSPSCDes,MATCH(INDIRECT(ADDRESS(ROW(),COLUMN()-1,4)),UNSPSCCode,0)),"")</f>
        <v>Licuadoras para uso doméstico</v>
      </c>
      <c r="C1125" s="63" t="s">
        <v>1449</v>
      </c>
      <c r="D1125" s="63">
        <v>2</v>
      </c>
      <c r="E1125" s="66">
        <v>2250</v>
      </c>
      <c r="F1125" s="65">
        <f ca="1">INDIRECT(ADDRESS(ROW(),COLUMN()-2,4))*INDIRECT(ADDRESS(ROW(),COLUMN()-1,4))</f>
        <v>4500</v>
      </c>
      <c r="G1125" s="5"/>
      <c r="H1125" s="5"/>
      <c r="I1125" s="5"/>
      <c r="J1125" s="5"/>
    </row>
    <row r="1126" spans="1:10" ht="14.1" customHeight="1" x14ac:dyDescent="0.2">
      <c r="A1126" s="5"/>
      <c r="B1126" s="5"/>
      <c r="C1126" s="5"/>
      <c r="D1126" s="5"/>
      <c r="E1126" s="68" t="s">
        <v>12550</v>
      </c>
      <c r="F1126" s="69">
        <f ca="1">SUM(Table361[MONTO TOTAL ESTIMADO])</f>
        <v>14500</v>
      </c>
      <c r="G1126" s="5"/>
      <c r="H1126" s="5" t="str">
        <f>C1117</f>
        <v>Bienes</v>
      </c>
      <c r="I1126" s="5" t="str">
        <f>E1117</f>
        <v>Sí</v>
      </c>
      <c r="J1126" s="5" t="str">
        <f>D1117</f>
        <v>Compras por debajo del Umbral</v>
      </c>
    </row>
    <row r="1127" spans="1:10" ht="14.1" customHeight="1" thickBot="1" x14ac:dyDescent="0.3"/>
    <row r="1128" spans="1:10" ht="33.75" customHeight="1" thickBot="1" x14ac:dyDescent="0.25">
      <c r="A1128" s="59" t="s">
        <v>16382</v>
      </c>
      <c r="B1128" s="59" t="s">
        <v>161</v>
      </c>
      <c r="C1128" s="59" t="s">
        <v>11724</v>
      </c>
      <c r="D1128" s="59" t="s">
        <v>14378</v>
      </c>
      <c r="E1128" s="59" t="s">
        <v>10962</v>
      </c>
      <c r="F1128" s="59" t="s">
        <v>11095</v>
      </c>
      <c r="G1128" s="5"/>
      <c r="H1128" s="5"/>
      <c r="I1128" s="5"/>
      <c r="J1128" s="5"/>
    </row>
    <row r="1129" spans="1:10" ht="13.5" customHeight="1" thickBot="1" x14ac:dyDescent="0.25">
      <c r="A1129" s="77" t="s">
        <v>18863</v>
      </c>
      <c r="B1129" s="77" t="s">
        <v>18862</v>
      </c>
      <c r="C1129" s="61" t="s">
        <v>17797</v>
      </c>
      <c r="D1129" s="61" t="s">
        <v>10171</v>
      </c>
      <c r="E1129" s="61" t="s">
        <v>8854</v>
      </c>
      <c r="F1129" s="61"/>
      <c r="G1129" s="5"/>
      <c r="H1129" s="5"/>
      <c r="I1129" s="5"/>
      <c r="J1129" s="5"/>
    </row>
    <row r="1130" spans="1:10" ht="14.1" customHeight="1" thickBot="1" x14ac:dyDescent="0.25">
      <c r="A1130" s="82" t="s">
        <v>14828</v>
      </c>
      <c r="B1130" s="62" t="s">
        <v>8528</v>
      </c>
      <c r="C1130" s="71">
        <v>44105</v>
      </c>
      <c r="D1130" s="82" t="s">
        <v>9385</v>
      </c>
      <c r="E1130" s="62" t="s">
        <v>13093</v>
      </c>
      <c r="F1130" s="61" t="s">
        <v>3080</v>
      </c>
      <c r="G1130" s="5"/>
      <c r="H1130" s="5"/>
      <c r="I1130" s="5"/>
      <c r="J1130" s="5"/>
    </row>
    <row r="1131" spans="1:10" ht="14.1" customHeight="1" thickBot="1" x14ac:dyDescent="0.25">
      <c r="A1131" s="83"/>
      <c r="B1131" s="62" t="s">
        <v>1786</v>
      </c>
      <c r="C1131" s="60">
        <f>IF(C1130="","",IF(AND(MONTH(C1130)&gt;=1,MONTH(C1130)&lt;=3),1,IF(AND(MONTH(C1130)&gt;=4,MONTH(C1130)&lt;=6),2,IF(AND(MONTH(C1130)&gt;=7,MONTH(C1130)&lt;=9),3,4))))</f>
        <v>4</v>
      </c>
      <c r="D1131" s="83"/>
      <c r="E1131" s="62" t="s">
        <v>2417</v>
      </c>
      <c r="F1131" s="61" t="s">
        <v>11112</v>
      </c>
      <c r="G1131" s="5"/>
      <c r="H1131" s="5"/>
      <c r="I1131" s="5"/>
      <c r="J1131" s="5"/>
    </row>
    <row r="1132" spans="1:10" ht="14.1" customHeight="1" thickBot="1" x14ac:dyDescent="0.25">
      <c r="A1132" s="83"/>
      <c r="B1132" s="62" t="s">
        <v>12942</v>
      </c>
      <c r="C1132" s="71">
        <v>44196</v>
      </c>
      <c r="D1132" s="83"/>
      <c r="E1132" s="62" t="s">
        <v>3073</v>
      </c>
      <c r="F1132" s="61" t="s">
        <v>11112</v>
      </c>
      <c r="G1132" s="5"/>
      <c r="H1132" s="5"/>
      <c r="I1132" s="5"/>
      <c r="J1132" s="5"/>
    </row>
    <row r="1133" spans="1:10" ht="14.1" customHeight="1" thickBot="1" x14ac:dyDescent="0.25">
      <c r="A1133" s="83"/>
      <c r="B1133" s="62" t="s">
        <v>1786</v>
      </c>
      <c r="C1133" s="60">
        <f>IF(C1132="","",IF(AND(MONTH(C1132)&gt;=1,MONTH(C1132)&lt;=3),1,IF(AND(MONTH(C1132)&gt;=4,MONTH(C1132)&lt;=6),2,IF(AND(MONTH(C1132)&gt;=7,MONTH(C1132)&lt;=9),3,4))))</f>
        <v>4</v>
      </c>
      <c r="D1133" s="83"/>
      <c r="E1133" s="62" t="s">
        <v>13192</v>
      </c>
      <c r="F1133" s="61" t="s">
        <v>11112</v>
      </c>
      <c r="G1133" s="5"/>
      <c r="H1133" s="5"/>
      <c r="I1133" s="5"/>
      <c r="J1133" s="5"/>
    </row>
    <row r="1134" spans="1:10" ht="14.1" customHeight="1" thickBot="1" x14ac:dyDescent="0.25">
      <c r="A1134" s="5"/>
      <c r="B1134" s="5"/>
      <c r="C1134" s="5"/>
      <c r="D1134" s="5"/>
      <c r="E1134" s="5"/>
      <c r="F1134" s="5"/>
      <c r="G1134" s="5"/>
      <c r="H1134" s="5"/>
      <c r="I1134" s="5"/>
      <c r="J1134" s="5"/>
    </row>
    <row r="1135" spans="1:10" ht="14.1" customHeight="1" thickBot="1" x14ac:dyDescent="0.25">
      <c r="A1135" s="67" t="s">
        <v>15735</v>
      </c>
      <c r="B1135" s="67" t="s">
        <v>16146</v>
      </c>
      <c r="C1135" s="67" t="s">
        <v>15641</v>
      </c>
      <c r="D1135" s="67" t="s">
        <v>15251</v>
      </c>
      <c r="E1135" s="67" t="s">
        <v>6932</v>
      </c>
      <c r="F1135" s="67" t="s">
        <v>15280</v>
      </c>
      <c r="G1135" s="5"/>
      <c r="H1135" s="5"/>
      <c r="I1135" s="5"/>
      <c r="J1135" s="5"/>
    </row>
    <row r="1136" spans="1:10" ht="13.5" customHeight="1" x14ac:dyDescent="0.2">
      <c r="A1136" s="78">
        <v>52141504</v>
      </c>
      <c r="B1136" s="64" t="str">
        <f ca="1">IFERROR(INDEX(UNSPSCDes,MATCH(INDIRECT(ADDRESS(ROW(),COLUMN()-1,4)),UNSPSCCode,0)),"")</f>
        <v>Fogones para uso doméstico</v>
      </c>
      <c r="C1136" s="63" t="s">
        <v>1449</v>
      </c>
      <c r="D1136" s="63">
        <v>1</v>
      </c>
      <c r="E1136" s="66">
        <v>10000</v>
      </c>
      <c r="F1136" s="65">
        <f ca="1">INDIRECT(ADDRESS(ROW(),COLUMN()-2,4))*INDIRECT(ADDRESS(ROW(),COLUMN()-1,4))</f>
        <v>10000</v>
      </c>
      <c r="G1136" s="5"/>
      <c r="H1136" s="5"/>
      <c r="I1136" s="5"/>
      <c r="J1136" s="5"/>
    </row>
    <row r="1137" spans="1:10" ht="13.5" customHeight="1" x14ac:dyDescent="0.2">
      <c r="A1137" s="78">
        <v>52141524</v>
      </c>
      <c r="B1137" s="64" t="str">
        <f ca="1">IFERROR(INDEX(UNSPSCDes,MATCH(INDIRECT(ADDRESS(ROW(),COLUMN()-1,4)),UNSPSCCode,0)),"")</f>
        <v>Licuadoras para uso doméstico</v>
      </c>
      <c r="C1137" s="63" t="s">
        <v>1449</v>
      </c>
      <c r="D1137" s="63">
        <v>1</v>
      </c>
      <c r="E1137" s="66">
        <v>2250</v>
      </c>
      <c r="F1137" s="65">
        <f ca="1">INDIRECT(ADDRESS(ROW(),COLUMN()-2,4))*INDIRECT(ADDRESS(ROW(),COLUMN()-1,4))</f>
        <v>2250</v>
      </c>
      <c r="G1137" s="5"/>
      <c r="H1137" s="5"/>
      <c r="I1137" s="5"/>
      <c r="J1137" s="5"/>
    </row>
    <row r="1138" spans="1:10" ht="13.5" customHeight="1" x14ac:dyDescent="0.2">
      <c r="A1138" s="78">
        <v>52141502</v>
      </c>
      <c r="B1138" s="64" t="str">
        <f ca="1">IFERROR(INDEX(UNSPSCDes,MATCH(INDIRECT(ADDRESS(ROW(),COLUMN()-1,4)),UNSPSCCode,0)),"")</f>
        <v>Hornos microondas para uso doméstico</v>
      </c>
      <c r="C1138" s="63" t="s">
        <v>1449</v>
      </c>
      <c r="D1138" s="63">
        <v>1</v>
      </c>
      <c r="E1138" s="66">
        <v>5125</v>
      </c>
      <c r="F1138" s="65">
        <f ca="1">INDIRECT(ADDRESS(ROW(),COLUMN()-2,4))*INDIRECT(ADDRESS(ROW(),COLUMN()-1,4))</f>
        <v>5125</v>
      </c>
      <c r="G1138" s="5"/>
      <c r="H1138" s="5"/>
      <c r="I1138" s="5"/>
      <c r="J1138" s="5"/>
    </row>
    <row r="1139" spans="1:10" ht="14.1" customHeight="1" x14ac:dyDescent="0.2">
      <c r="A1139" s="5"/>
      <c r="B1139" s="5"/>
      <c r="C1139" s="5"/>
      <c r="D1139" s="5"/>
      <c r="E1139" s="68" t="s">
        <v>12550</v>
      </c>
      <c r="F1139" s="69">
        <f ca="1">SUM(Table362[MONTO TOTAL ESTIMADO])</f>
        <v>17375</v>
      </c>
      <c r="G1139" s="5"/>
      <c r="H1139" s="5" t="str">
        <f>C1129</f>
        <v>Bienes</v>
      </c>
      <c r="I1139" s="5" t="str">
        <f>E1129</f>
        <v>Sí</v>
      </c>
      <c r="J1139" s="5" t="str">
        <f>D1129</f>
        <v>Compras por debajo del Umbral</v>
      </c>
    </row>
    <row r="1140" spans="1:10" ht="14.1" customHeight="1" thickBot="1" x14ac:dyDescent="0.3"/>
    <row r="1141" spans="1:10" ht="33.75" customHeight="1" thickBot="1" x14ac:dyDescent="0.25">
      <c r="A1141" s="59" t="s">
        <v>16382</v>
      </c>
      <c r="B1141" s="59" t="s">
        <v>161</v>
      </c>
      <c r="C1141" s="59" t="s">
        <v>11724</v>
      </c>
      <c r="D1141" s="59" t="s">
        <v>14378</v>
      </c>
      <c r="E1141" s="59" t="s">
        <v>10962</v>
      </c>
      <c r="F1141" s="59" t="s">
        <v>11095</v>
      </c>
      <c r="G1141" s="5"/>
      <c r="H1141" s="5"/>
      <c r="I1141" s="5"/>
      <c r="J1141" s="5"/>
    </row>
    <row r="1142" spans="1:10" ht="13.5" customHeight="1" thickBot="1" x14ac:dyDescent="0.25">
      <c r="A1142" s="77" t="s">
        <v>18864</v>
      </c>
      <c r="B1142" s="77" t="s">
        <v>18865</v>
      </c>
      <c r="C1142" s="61" t="s">
        <v>17797</v>
      </c>
      <c r="D1142" s="61" t="s">
        <v>10171</v>
      </c>
      <c r="E1142" s="61" t="s">
        <v>8854</v>
      </c>
      <c r="F1142" s="61"/>
      <c r="G1142" s="5"/>
      <c r="H1142" s="5"/>
      <c r="I1142" s="5"/>
      <c r="J1142" s="5"/>
    </row>
    <row r="1143" spans="1:10" ht="14.1" customHeight="1" thickBot="1" x14ac:dyDescent="0.25">
      <c r="A1143" s="82" t="s">
        <v>14828</v>
      </c>
      <c r="B1143" s="62" t="s">
        <v>8528</v>
      </c>
      <c r="C1143" s="71">
        <v>43831</v>
      </c>
      <c r="D1143" s="82" t="s">
        <v>9385</v>
      </c>
      <c r="E1143" s="62" t="s">
        <v>13093</v>
      </c>
      <c r="F1143" s="61" t="s">
        <v>3080</v>
      </c>
      <c r="G1143" s="5"/>
      <c r="H1143" s="5"/>
      <c r="I1143" s="5"/>
      <c r="J1143" s="5"/>
    </row>
    <row r="1144" spans="1:10" ht="14.1" customHeight="1" thickBot="1" x14ac:dyDescent="0.25">
      <c r="A1144" s="83"/>
      <c r="B1144" s="62" t="s">
        <v>1786</v>
      </c>
      <c r="C1144" s="60">
        <f>IF(C1143="","",IF(AND(MONTH(C1143)&gt;=1,MONTH(C1143)&lt;=3),1,IF(AND(MONTH(C1143)&gt;=4,MONTH(C1143)&lt;=6),2,IF(AND(MONTH(C1143)&gt;=7,MONTH(C1143)&lt;=9),3,4))))</f>
        <v>1</v>
      </c>
      <c r="D1144" s="83"/>
      <c r="E1144" s="62" t="s">
        <v>2417</v>
      </c>
      <c r="F1144" s="61" t="s">
        <v>11112</v>
      </c>
      <c r="G1144" s="5"/>
      <c r="H1144" s="5"/>
      <c r="I1144" s="5"/>
      <c r="J1144" s="5"/>
    </row>
    <row r="1145" spans="1:10" ht="14.1" customHeight="1" thickBot="1" x14ac:dyDescent="0.25">
      <c r="A1145" s="83"/>
      <c r="B1145" s="62" t="s">
        <v>12942</v>
      </c>
      <c r="C1145" s="71">
        <v>43921</v>
      </c>
      <c r="D1145" s="83"/>
      <c r="E1145" s="62" t="s">
        <v>3073</v>
      </c>
      <c r="F1145" s="61" t="s">
        <v>11112</v>
      </c>
      <c r="G1145" s="5"/>
      <c r="H1145" s="5"/>
      <c r="I1145" s="5"/>
      <c r="J1145" s="5"/>
    </row>
    <row r="1146" spans="1:10" ht="14.1" customHeight="1" thickBot="1" x14ac:dyDescent="0.25">
      <c r="A1146" s="83"/>
      <c r="B1146" s="62" t="s">
        <v>1786</v>
      </c>
      <c r="C1146" s="60">
        <f>IF(C1145="","",IF(AND(MONTH(C1145)&gt;=1,MONTH(C1145)&lt;=3),1,IF(AND(MONTH(C1145)&gt;=4,MONTH(C1145)&lt;=6),2,IF(AND(MONTH(C1145)&gt;=7,MONTH(C1145)&lt;=9),3,4))))</f>
        <v>1</v>
      </c>
      <c r="D1146" s="83"/>
      <c r="E1146" s="62" t="s">
        <v>13192</v>
      </c>
      <c r="F1146" s="61" t="s">
        <v>11112</v>
      </c>
      <c r="G1146" s="5"/>
      <c r="H1146" s="5"/>
      <c r="I1146" s="5"/>
      <c r="J1146" s="5"/>
    </row>
    <row r="1147" spans="1:10" ht="14.1" customHeight="1" thickBot="1" x14ac:dyDescent="0.25">
      <c r="A1147" s="5"/>
      <c r="B1147" s="5"/>
      <c r="C1147" s="5"/>
      <c r="D1147" s="5"/>
      <c r="E1147" s="5"/>
      <c r="F1147" s="5"/>
      <c r="G1147" s="5"/>
      <c r="H1147" s="5"/>
      <c r="I1147" s="5"/>
      <c r="J1147" s="5"/>
    </row>
    <row r="1148" spans="1:10" ht="14.1" customHeight="1" thickBot="1" x14ac:dyDescent="0.25">
      <c r="A1148" s="67" t="s">
        <v>15735</v>
      </c>
      <c r="B1148" s="67" t="s">
        <v>16146</v>
      </c>
      <c r="C1148" s="67" t="s">
        <v>15641</v>
      </c>
      <c r="D1148" s="67" t="s">
        <v>15251</v>
      </c>
      <c r="E1148" s="67" t="s">
        <v>6932</v>
      </c>
      <c r="F1148" s="67" t="s">
        <v>15280</v>
      </c>
      <c r="G1148" s="5"/>
      <c r="H1148" s="5"/>
      <c r="I1148" s="5"/>
      <c r="J1148" s="5"/>
    </row>
    <row r="1149" spans="1:10" ht="13.5" customHeight="1" x14ac:dyDescent="0.2">
      <c r="A1149" s="78">
        <v>52161509</v>
      </c>
      <c r="B1149" s="64" t="str">
        <f ca="1">IFERROR(INDEX(UNSPSCDes,MATCH(INDIRECT(ADDRESS(ROW(),COLUMN()-1,4)),UNSPSCCode,0)),"")</f>
        <v>Sistemas de estéreo portátiles</v>
      </c>
      <c r="C1149" s="63" t="s">
        <v>1449</v>
      </c>
      <c r="D1149" s="63">
        <v>1</v>
      </c>
      <c r="E1149" s="66">
        <v>17000</v>
      </c>
      <c r="F1149" s="65">
        <f ca="1">INDIRECT(ADDRESS(ROW(),COLUMN()-2,4))*INDIRECT(ADDRESS(ROW(),COLUMN()-1,4))</f>
        <v>17000</v>
      </c>
      <c r="G1149" s="5"/>
      <c r="H1149" s="5"/>
      <c r="I1149" s="5"/>
      <c r="J1149" s="5"/>
    </row>
    <row r="1150" spans="1:10" ht="13.5" customHeight="1" x14ac:dyDescent="0.2">
      <c r="A1150" s="78">
        <v>52161520</v>
      </c>
      <c r="B1150" s="64" t="str">
        <f ca="1">IFERROR(INDEX(UNSPSCDes,MATCH(INDIRECT(ADDRESS(ROW(),COLUMN()-1,4)),UNSPSCCode,0)),"")</f>
        <v>Micrófonos</v>
      </c>
      <c r="C1150" s="63" t="s">
        <v>1449</v>
      </c>
      <c r="D1150" s="63">
        <v>1</v>
      </c>
      <c r="E1150" s="66">
        <v>2100</v>
      </c>
      <c r="F1150" s="65">
        <f ca="1">INDIRECT(ADDRESS(ROW(),COLUMN()-2,4))*INDIRECT(ADDRESS(ROW(),COLUMN()-1,4))</f>
        <v>2100</v>
      </c>
      <c r="G1150" s="5"/>
      <c r="H1150" s="5"/>
      <c r="I1150" s="5"/>
      <c r="J1150" s="5"/>
    </row>
    <row r="1151" spans="1:10" ht="14.1" customHeight="1" x14ac:dyDescent="0.2">
      <c r="A1151" s="5"/>
      <c r="B1151" s="5"/>
      <c r="C1151" s="5"/>
      <c r="D1151" s="5"/>
      <c r="E1151" s="68" t="s">
        <v>12550</v>
      </c>
      <c r="F1151" s="69">
        <f ca="1">SUM(Table363[MONTO TOTAL ESTIMADO])</f>
        <v>19100</v>
      </c>
      <c r="G1151" s="5"/>
      <c r="H1151" s="5" t="str">
        <f>C1142</f>
        <v>Bienes</v>
      </c>
      <c r="I1151" s="5" t="str">
        <f>E1142</f>
        <v>Sí</v>
      </c>
      <c r="J1151" s="5" t="str">
        <f>D1142</f>
        <v>Compras por debajo del Umbral</v>
      </c>
    </row>
    <row r="1152" spans="1:10" ht="14.1" customHeight="1" thickBot="1" x14ac:dyDescent="0.3"/>
    <row r="1153" spans="1:10" ht="33.75" customHeight="1" thickBot="1" x14ac:dyDescent="0.25">
      <c r="A1153" s="59" t="s">
        <v>16382</v>
      </c>
      <c r="B1153" s="59" t="s">
        <v>161</v>
      </c>
      <c r="C1153" s="59" t="s">
        <v>11724</v>
      </c>
      <c r="D1153" s="59" t="s">
        <v>14378</v>
      </c>
      <c r="E1153" s="59" t="s">
        <v>10962</v>
      </c>
      <c r="F1153" s="59" t="s">
        <v>11095</v>
      </c>
      <c r="G1153" s="5"/>
      <c r="H1153" s="5"/>
      <c r="I1153" s="5"/>
      <c r="J1153" s="5"/>
    </row>
    <row r="1154" spans="1:10" ht="13.5" customHeight="1" thickBot="1" x14ac:dyDescent="0.25">
      <c r="A1154" s="77" t="s">
        <v>18864</v>
      </c>
      <c r="B1154" s="77" t="s">
        <v>18865</v>
      </c>
      <c r="C1154" s="61" t="s">
        <v>17797</v>
      </c>
      <c r="D1154" s="61" t="s">
        <v>10171</v>
      </c>
      <c r="E1154" s="61" t="s">
        <v>8854</v>
      </c>
      <c r="F1154" s="61"/>
      <c r="G1154" s="5"/>
      <c r="H1154" s="5"/>
      <c r="I1154" s="5"/>
      <c r="J1154" s="5"/>
    </row>
    <row r="1155" spans="1:10" ht="14.1" customHeight="1" thickBot="1" x14ac:dyDescent="0.25">
      <c r="A1155" s="82" t="s">
        <v>14828</v>
      </c>
      <c r="B1155" s="62" t="s">
        <v>8528</v>
      </c>
      <c r="C1155" s="71">
        <v>43922</v>
      </c>
      <c r="D1155" s="82" t="s">
        <v>9385</v>
      </c>
      <c r="E1155" s="62" t="s">
        <v>13093</v>
      </c>
      <c r="F1155" s="61" t="s">
        <v>3080</v>
      </c>
      <c r="G1155" s="5"/>
      <c r="H1155" s="5"/>
      <c r="I1155" s="5"/>
      <c r="J1155" s="5"/>
    </row>
    <row r="1156" spans="1:10" ht="14.1" customHeight="1" thickBot="1" x14ac:dyDescent="0.25">
      <c r="A1156" s="83"/>
      <c r="B1156" s="62" t="s">
        <v>1786</v>
      </c>
      <c r="C1156" s="60">
        <f>IF(C1155="","",IF(AND(MONTH(C1155)&gt;=1,MONTH(C1155)&lt;=3),1,IF(AND(MONTH(C1155)&gt;=4,MONTH(C1155)&lt;=6),2,IF(AND(MONTH(C1155)&gt;=7,MONTH(C1155)&lt;=9),3,4))))</f>
        <v>2</v>
      </c>
      <c r="D1156" s="83"/>
      <c r="E1156" s="62" t="s">
        <v>2417</v>
      </c>
      <c r="F1156" s="61" t="s">
        <v>11112</v>
      </c>
      <c r="G1156" s="5"/>
      <c r="H1156" s="5"/>
      <c r="I1156" s="5"/>
      <c r="J1156" s="5"/>
    </row>
    <row r="1157" spans="1:10" ht="14.1" customHeight="1" thickBot="1" x14ac:dyDescent="0.25">
      <c r="A1157" s="83"/>
      <c r="B1157" s="62" t="s">
        <v>12942</v>
      </c>
      <c r="C1157" s="71">
        <v>44012</v>
      </c>
      <c r="D1157" s="83"/>
      <c r="E1157" s="62" t="s">
        <v>3073</v>
      </c>
      <c r="F1157" s="61" t="s">
        <v>11112</v>
      </c>
      <c r="G1157" s="5"/>
      <c r="H1157" s="5"/>
      <c r="I1157" s="5"/>
      <c r="J1157" s="5"/>
    </row>
    <row r="1158" spans="1:10" ht="14.1" customHeight="1" thickBot="1" x14ac:dyDescent="0.25">
      <c r="A1158" s="83"/>
      <c r="B1158" s="62" t="s">
        <v>1786</v>
      </c>
      <c r="C1158" s="60">
        <f>IF(C1157="","",IF(AND(MONTH(C1157)&gt;=1,MONTH(C1157)&lt;=3),1,IF(AND(MONTH(C1157)&gt;=4,MONTH(C1157)&lt;=6),2,IF(AND(MONTH(C1157)&gt;=7,MONTH(C1157)&lt;=9),3,4))))</f>
        <v>2</v>
      </c>
      <c r="D1158" s="83"/>
      <c r="E1158" s="62" t="s">
        <v>13192</v>
      </c>
      <c r="F1158" s="61" t="s">
        <v>11112</v>
      </c>
      <c r="G1158" s="5"/>
      <c r="H1158" s="5"/>
      <c r="I1158" s="5"/>
      <c r="J1158" s="5"/>
    </row>
    <row r="1159" spans="1:10" ht="14.1" customHeight="1" thickBot="1" x14ac:dyDescent="0.25">
      <c r="A1159" s="5"/>
      <c r="B1159" s="5"/>
      <c r="C1159" s="5"/>
      <c r="D1159" s="5"/>
      <c r="E1159" s="5"/>
      <c r="F1159" s="5"/>
      <c r="G1159" s="5"/>
      <c r="H1159" s="5"/>
      <c r="I1159" s="5"/>
      <c r="J1159" s="5"/>
    </row>
    <row r="1160" spans="1:10" ht="14.1" customHeight="1" thickBot="1" x14ac:dyDescent="0.25">
      <c r="A1160" s="67" t="s">
        <v>15735</v>
      </c>
      <c r="B1160" s="67" t="s">
        <v>16146</v>
      </c>
      <c r="C1160" s="67" t="s">
        <v>15641</v>
      </c>
      <c r="D1160" s="67" t="s">
        <v>15251</v>
      </c>
      <c r="E1160" s="67" t="s">
        <v>6932</v>
      </c>
      <c r="F1160" s="67" t="s">
        <v>15280</v>
      </c>
      <c r="G1160" s="5"/>
      <c r="H1160" s="5"/>
      <c r="I1160" s="5"/>
      <c r="J1160" s="5"/>
    </row>
    <row r="1161" spans="1:10" ht="13.5" customHeight="1" x14ac:dyDescent="0.2">
      <c r="A1161" s="78">
        <v>45111609</v>
      </c>
      <c r="B1161" s="64" t="str">
        <f ca="1">IFERROR(INDEX(UNSPSCDes,MATCH(INDIRECT(ADDRESS(ROW(),COLUMN()-1,4)),UNSPSCCode,0)),"")</f>
        <v>Proyectores multimedia</v>
      </c>
      <c r="C1161" s="63" t="s">
        <v>1449</v>
      </c>
      <c r="D1161" s="63">
        <v>1</v>
      </c>
      <c r="E1161" s="66">
        <v>14250</v>
      </c>
      <c r="F1161" s="65">
        <f ca="1">INDIRECT(ADDRESS(ROW(),COLUMN()-2,4))*INDIRECT(ADDRESS(ROW(),COLUMN()-1,4))</f>
        <v>14250</v>
      </c>
      <c r="G1161" s="5"/>
      <c r="H1161" s="5"/>
      <c r="I1161" s="5"/>
      <c r="J1161" s="5"/>
    </row>
    <row r="1162" spans="1:10" ht="13.5" customHeight="1" x14ac:dyDescent="0.2">
      <c r="A1162" s="78">
        <v>52161535</v>
      </c>
      <c r="B1162" s="64" t="str">
        <f ca="1">IFERROR(INDEX(UNSPSCDes,MATCH(INDIRECT(ADDRESS(ROW(),COLUMN()-1,4)),UNSPSCCode,0)),"")</f>
        <v>Grabadoras de voz digitales</v>
      </c>
      <c r="C1162" s="63" t="s">
        <v>1449</v>
      </c>
      <c r="D1162" s="63">
        <v>1</v>
      </c>
      <c r="E1162" s="66">
        <v>2100</v>
      </c>
      <c r="F1162" s="65">
        <f ca="1">INDIRECT(ADDRESS(ROW(),COLUMN()-2,4))*INDIRECT(ADDRESS(ROW(),COLUMN()-1,4))</f>
        <v>2100</v>
      </c>
      <c r="G1162" s="5"/>
      <c r="H1162" s="5"/>
      <c r="I1162" s="5"/>
      <c r="J1162" s="5"/>
    </row>
    <row r="1163" spans="1:10" ht="14.1" customHeight="1" x14ac:dyDescent="0.2">
      <c r="A1163" s="5"/>
      <c r="B1163" s="5"/>
      <c r="C1163" s="5"/>
      <c r="D1163" s="5"/>
      <c r="E1163" s="68" t="s">
        <v>12550</v>
      </c>
      <c r="F1163" s="69">
        <f ca="1">SUM(Table364[MONTO TOTAL ESTIMADO])</f>
        <v>16350</v>
      </c>
      <c r="G1163" s="5"/>
      <c r="H1163" s="5" t="str">
        <f>C1154</f>
        <v>Bienes</v>
      </c>
      <c r="I1163" s="5" t="str">
        <f>E1154</f>
        <v>Sí</v>
      </c>
      <c r="J1163" s="5" t="str">
        <f>D1154</f>
        <v>Compras por debajo del Umbral</v>
      </c>
    </row>
    <row r="1164" spans="1:10" ht="14.1" customHeight="1" thickBot="1" x14ac:dyDescent="0.3"/>
    <row r="1165" spans="1:10" ht="33.75" customHeight="1" thickBot="1" x14ac:dyDescent="0.25">
      <c r="A1165" s="59" t="s">
        <v>16382</v>
      </c>
      <c r="B1165" s="59" t="s">
        <v>161</v>
      </c>
      <c r="C1165" s="59" t="s">
        <v>11724</v>
      </c>
      <c r="D1165" s="59" t="s">
        <v>14378</v>
      </c>
      <c r="E1165" s="59" t="s">
        <v>10962</v>
      </c>
      <c r="F1165" s="59" t="s">
        <v>11095</v>
      </c>
      <c r="G1165" s="5"/>
      <c r="H1165" s="5"/>
      <c r="I1165" s="5"/>
      <c r="J1165" s="5"/>
    </row>
    <row r="1166" spans="1:10" ht="13.5" customHeight="1" thickBot="1" x14ac:dyDescent="0.25">
      <c r="A1166" s="77" t="s">
        <v>18864</v>
      </c>
      <c r="B1166" s="77" t="s">
        <v>18865</v>
      </c>
      <c r="C1166" s="61" t="s">
        <v>17797</v>
      </c>
      <c r="D1166" s="61" t="s">
        <v>10171</v>
      </c>
      <c r="E1166" s="61" t="s">
        <v>8854</v>
      </c>
      <c r="F1166" s="61"/>
      <c r="G1166" s="5"/>
      <c r="H1166" s="5"/>
      <c r="I1166" s="5"/>
      <c r="J1166" s="5"/>
    </row>
    <row r="1167" spans="1:10" ht="14.1" customHeight="1" thickBot="1" x14ac:dyDescent="0.25">
      <c r="A1167" s="82" t="s">
        <v>14828</v>
      </c>
      <c r="B1167" s="62" t="s">
        <v>8528</v>
      </c>
      <c r="C1167" s="71">
        <v>44013</v>
      </c>
      <c r="D1167" s="82" t="s">
        <v>9385</v>
      </c>
      <c r="E1167" s="62" t="s">
        <v>13093</v>
      </c>
      <c r="F1167" s="61" t="s">
        <v>3080</v>
      </c>
      <c r="G1167" s="5"/>
      <c r="H1167" s="5"/>
      <c r="I1167" s="5"/>
      <c r="J1167" s="5"/>
    </row>
    <row r="1168" spans="1:10" ht="14.1" customHeight="1" thickBot="1" x14ac:dyDescent="0.25">
      <c r="A1168" s="83"/>
      <c r="B1168" s="62" t="s">
        <v>1786</v>
      </c>
      <c r="C1168" s="60">
        <f>IF(C1167="","",IF(AND(MONTH(C1167)&gt;=1,MONTH(C1167)&lt;=3),1,IF(AND(MONTH(C1167)&gt;=4,MONTH(C1167)&lt;=6),2,IF(AND(MONTH(C1167)&gt;=7,MONTH(C1167)&lt;=9),3,4))))</f>
        <v>3</v>
      </c>
      <c r="D1168" s="83"/>
      <c r="E1168" s="62" t="s">
        <v>2417</v>
      </c>
      <c r="F1168" s="61" t="s">
        <v>11112</v>
      </c>
      <c r="G1168" s="5"/>
      <c r="H1168" s="5"/>
      <c r="I1168" s="5"/>
      <c r="J1168" s="5"/>
    </row>
    <row r="1169" spans="1:10" ht="14.1" customHeight="1" thickBot="1" x14ac:dyDescent="0.25">
      <c r="A1169" s="83"/>
      <c r="B1169" s="62" t="s">
        <v>12942</v>
      </c>
      <c r="C1169" s="71">
        <v>44104</v>
      </c>
      <c r="D1169" s="83"/>
      <c r="E1169" s="62" t="s">
        <v>3073</v>
      </c>
      <c r="F1169" s="61" t="s">
        <v>11112</v>
      </c>
      <c r="G1169" s="5"/>
      <c r="H1169" s="5"/>
      <c r="I1169" s="5"/>
      <c r="J1169" s="5"/>
    </row>
    <row r="1170" spans="1:10" ht="14.1" customHeight="1" thickBot="1" x14ac:dyDescent="0.25">
      <c r="A1170" s="83"/>
      <c r="B1170" s="62" t="s">
        <v>1786</v>
      </c>
      <c r="C1170" s="60">
        <f>IF(C1169="","",IF(AND(MONTH(C1169)&gt;=1,MONTH(C1169)&lt;=3),1,IF(AND(MONTH(C1169)&gt;=4,MONTH(C1169)&lt;=6),2,IF(AND(MONTH(C1169)&gt;=7,MONTH(C1169)&lt;=9),3,4))))</f>
        <v>3</v>
      </c>
      <c r="D1170" s="83"/>
      <c r="E1170" s="62" t="s">
        <v>13192</v>
      </c>
      <c r="F1170" s="61" t="s">
        <v>11112</v>
      </c>
      <c r="G1170" s="5"/>
      <c r="H1170" s="5"/>
      <c r="I1170" s="5"/>
      <c r="J1170" s="5"/>
    </row>
    <row r="1171" spans="1:10" ht="14.1" customHeight="1" thickBot="1" x14ac:dyDescent="0.25">
      <c r="A1171" s="5"/>
      <c r="B1171" s="5"/>
      <c r="C1171" s="5"/>
      <c r="D1171" s="5"/>
      <c r="E1171" s="5"/>
      <c r="F1171" s="5"/>
      <c r="G1171" s="5"/>
      <c r="H1171" s="5"/>
      <c r="I1171" s="5"/>
      <c r="J1171" s="5"/>
    </row>
    <row r="1172" spans="1:10" ht="14.1" customHeight="1" thickBot="1" x14ac:dyDescent="0.25">
      <c r="A1172" s="67" t="s">
        <v>15735</v>
      </c>
      <c r="B1172" s="67" t="s">
        <v>16146</v>
      </c>
      <c r="C1172" s="67" t="s">
        <v>15641</v>
      </c>
      <c r="D1172" s="67" t="s">
        <v>15251</v>
      </c>
      <c r="E1172" s="67" t="s">
        <v>6932</v>
      </c>
      <c r="F1172" s="67" t="s">
        <v>15280</v>
      </c>
      <c r="G1172" s="5"/>
      <c r="H1172" s="5"/>
      <c r="I1172" s="5"/>
      <c r="J1172" s="5"/>
    </row>
    <row r="1173" spans="1:10" ht="13.5" customHeight="1" x14ac:dyDescent="0.2">
      <c r="A1173" s="78">
        <v>45111609</v>
      </c>
      <c r="B1173" s="64" t="str">
        <f ca="1">IFERROR(INDEX(UNSPSCDes,MATCH(INDIRECT(ADDRESS(ROW(),COLUMN()-1,4)),UNSPSCCode,0)),"")</f>
        <v>Proyectores multimedia</v>
      </c>
      <c r="C1173" s="63" t="s">
        <v>1449</v>
      </c>
      <c r="D1173" s="63">
        <v>1</v>
      </c>
      <c r="E1173" s="66">
        <v>14250</v>
      </c>
      <c r="F1173" s="65">
        <f ca="1">INDIRECT(ADDRESS(ROW(),COLUMN()-2,4))*INDIRECT(ADDRESS(ROW(),COLUMN()-1,4))</f>
        <v>14250</v>
      </c>
      <c r="G1173" s="5"/>
      <c r="H1173" s="5"/>
      <c r="I1173" s="5"/>
      <c r="J1173" s="5"/>
    </row>
    <row r="1174" spans="1:10" ht="13.5" customHeight="1" x14ac:dyDescent="0.2">
      <c r="A1174" s="78">
        <v>52161520</v>
      </c>
      <c r="B1174" s="64" t="str">
        <f ca="1">IFERROR(INDEX(UNSPSCDes,MATCH(INDIRECT(ADDRESS(ROW(),COLUMN()-1,4)),UNSPSCCode,0)),"")</f>
        <v>Micrófonos</v>
      </c>
      <c r="C1174" s="63" t="s">
        <v>1449</v>
      </c>
      <c r="D1174" s="63">
        <v>1</v>
      </c>
      <c r="E1174" s="66">
        <v>2100</v>
      </c>
      <c r="F1174" s="65">
        <f ca="1">INDIRECT(ADDRESS(ROW(),COLUMN()-2,4))*INDIRECT(ADDRESS(ROW(),COLUMN()-1,4))</f>
        <v>2100</v>
      </c>
      <c r="G1174" s="5"/>
      <c r="H1174" s="5"/>
      <c r="I1174" s="5"/>
      <c r="J1174" s="5"/>
    </row>
    <row r="1175" spans="1:10" ht="14.1" customHeight="1" x14ac:dyDescent="0.2">
      <c r="A1175" s="5"/>
      <c r="B1175" s="5"/>
      <c r="C1175" s="5"/>
      <c r="D1175" s="5"/>
      <c r="E1175" s="68" t="s">
        <v>12550</v>
      </c>
      <c r="F1175" s="69">
        <f ca="1">SUM(Table365[MONTO TOTAL ESTIMADO])</f>
        <v>16350</v>
      </c>
      <c r="G1175" s="5"/>
      <c r="H1175" s="5" t="str">
        <f>C1166</f>
        <v>Bienes</v>
      </c>
      <c r="I1175" s="5" t="str">
        <f>E1166</f>
        <v>Sí</v>
      </c>
      <c r="J1175" s="5" t="str">
        <f>D1166</f>
        <v>Compras por debajo del Umbral</v>
      </c>
    </row>
    <row r="1176" spans="1:10" ht="14.1" customHeight="1" thickBot="1" x14ac:dyDescent="0.3"/>
    <row r="1177" spans="1:10" ht="33.75" customHeight="1" thickBot="1" x14ac:dyDescent="0.25">
      <c r="A1177" s="59" t="s">
        <v>16382</v>
      </c>
      <c r="B1177" s="59" t="s">
        <v>161</v>
      </c>
      <c r="C1177" s="59" t="s">
        <v>11724</v>
      </c>
      <c r="D1177" s="59" t="s">
        <v>14378</v>
      </c>
      <c r="E1177" s="59" t="s">
        <v>10962</v>
      </c>
      <c r="F1177" s="59" t="s">
        <v>11095</v>
      </c>
      <c r="G1177" s="5"/>
      <c r="H1177" s="5"/>
      <c r="I1177" s="5"/>
      <c r="J1177" s="5"/>
    </row>
    <row r="1178" spans="1:10" ht="13.5" customHeight="1" thickBot="1" x14ac:dyDescent="0.25">
      <c r="A1178" s="77" t="s">
        <v>18864</v>
      </c>
      <c r="B1178" s="77" t="s">
        <v>18865</v>
      </c>
      <c r="C1178" s="61" t="s">
        <v>17797</v>
      </c>
      <c r="D1178" s="61" t="s">
        <v>10171</v>
      </c>
      <c r="E1178" s="61" t="s">
        <v>8854</v>
      </c>
      <c r="F1178" s="61"/>
      <c r="G1178" s="5"/>
      <c r="H1178" s="5"/>
      <c r="I1178" s="5"/>
      <c r="J1178" s="5"/>
    </row>
    <row r="1179" spans="1:10" ht="14.1" customHeight="1" thickBot="1" x14ac:dyDescent="0.25">
      <c r="A1179" s="82" t="s">
        <v>14828</v>
      </c>
      <c r="B1179" s="62" t="s">
        <v>8528</v>
      </c>
      <c r="C1179" s="71">
        <v>44105</v>
      </c>
      <c r="D1179" s="82" t="s">
        <v>9385</v>
      </c>
      <c r="E1179" s="62" t="s">
        <v>13093</v>
      </c>
      <c r="F1179" s="61" t="s">
        <v>3080</v>
      </c>
      <c r="G1179" s="5"/>
      <c r="H1179" s="5"/>
      <c r="I1179" s="5"/>
      <c r="J1179" s="5"/>
    </row>
    <row r="1180" spans="1:10" ht="14.1" customHeight="1" thickBot="1" x14ac:dyDescent="0.25">
      <c r="A1180" s="83"/>
      <c r="B1180" s="62" t="s">
        <v>1786</v>
      </c>
      <c r="C1180" s="60">
        <f>IF(C1179="","",IF(AND(MONTH(C1179)&gt;=1,MONTH(C1179)&lt;=3),1,IF(AND(MONTH(C1179)&gt;=4,MONTH(C1179)&lt;=6),2,IF(AND(MONTH(C1179)&gt;=7,MONTH(C1179)&lt;=9),3,4))))</f>
        <v>4</v>
      </c>
      <c r="D1180" s="83"/>
      <c r="E1180" s="62" t="s">
        <v>2417</v>
      </c>
      <c r="F1180" s="61" t="s">
        <v>11112</v>
      </c>
      <c r="G1180" s="5"/>
      <c r="H1180" s="5"/>
      <c r="I1180" s="5"/>
      <c r="J1180" s="5"/>
    </row>
    <row r="1181" spans="1:10" ht="14.1" customHeight="1" thickBot="1" x14ac:dyDescent="0.25">
      <c r="A1181" s="83"/>
      <c r="B1181" s="62" t="s">
        <v>12942</v>
      </c>
      <c r="C1181" s="71">
        <v>44196</v>
      </c>
      <c r="D1181" s="83"/>
      <c r="E1181" s="62" t="s">
        <v>3073</v>
      </c>
      <c r="F1181" s="61" t="s">
        <v>11112</v>
      </c>
      <c r="G1181" s="5"/>
      <c r="H1181" s="5"/>
      <c r="I1181" s="5"/>
      <c r="J1181" s="5"/>
    </row>
    <row r="1182" spans="1:10" ht="14.1" customHeight="1" thickBot="1" x14ac:dyDescent="0.25">
      <c r="A1182" s="83"/>
      <c r="B1182" s="62" t="s">
        <v>1786</v>
      </c>
      <c r="C1182" s="60">
        <f>IF(C1181="","",IF(AND(MONTH(C1181)&gt;=1,MONTH(C1181)&lt;=3),1,IF(AND(MONTH(C1181)&gt;=4,MONTH(C1181)&lt;=6),2,IF(AND(MONTH(C1181)&gt;=7,MONTH(C1181)&lt;=9),3,4))))</f>
        <v>4</v>
      </c>
      <c r="D1182" s="83"/>
      <c r="E1182" s="62" t="s">
        <v>13192</v>
      </c>
      <c r="F1182" s="61" t="s">
        <v>11112</v>
      </c>
      <c r="G1182" s="5"/>
      <c r="H1182" s="5"/>
      <c r="I1182" s="5"/>
      <c r="J1182" s="5"/>
    </row>
    <row r="1183" spans="1:10" ht="14.1" customHeight="1" thickBot="1" x14ac:dyDescent="0.25">
      <c r="A1183" s="5"/>
      <c r="B1183" s="5"/>
      <c r="C1183" s="5"/>
      <c r="D1183" s="5"/>
      <c r="E1183" s="5"/>
      <c r="F1183" s="5"/>
      <c r="G1183" s="5"/>
      <c r="H1183" s="5"/>
      <c r="I1183" s="5"/>
      <c r="J1183" s="5"/>
    </row>
    <row r="1184" spans="1:10" ht="14.1" customHeight="1" thickBot="1" x14ac:dyDescent="0.25">
      <c r="A1184" s="67" t="s">
        <v>15735</v>
      </c>
      <c r="B1184" s="67" t="s">
        <v>16146</v>
      </c>
      <c r="C1184" s="67" t="s">
        <v>15641</v>
      </c>
      <c r="D1184" s="67" t="s">
        <v>15251</v>
      </c>
      <c r="E1184" s="67" t="s">
        <v>6932</v>
      </c>
      <c r="F1184" s="67" t="s">
        <v>15280</v>
      </c>
      <c r="G1184" s="5"/>
      <c r="H1184" s="5"/>
      <c r="I1184" s="5"/>
      <c r="J1184" s="5"/>
    </row>
    <row r="1185" spans="1:10" ht="13.5" customHeight="1" x14ac:dyDescent="0.2">
      <c r="A1185" s="78">
        <v>45111609</v>
      </c>
      <c r="B1185" s="64" t="str">
        <f ca="1">IFERROR(INDEX(UNSPSCDes,MATCH(INDIRECT(ADDRESS(ROW(),COLUMN()-1,4)),UNSPSCCode,0)),"")</f>
        <v>Proyectores multimedia</v>
      </c>
      <c r="C1185" s="63" t="s">
        <v>1449</v>
      </c>
      <c r="D1185" s="63">
        <v>1</v>
      </c>
      <c r="E1185" s="66">
        <v>14250</v>
      </c>
      <c r="F1185" s="65">
        <f ca="1">INDIRECT(ADDRESS(ROW(),COLUMN()-2,4))*INDIRECT(ADDRESS(ROW(),COLUMN()-1,4))</f>
        <v>14250</v>
      </c>
      <c r="G1185" s="5"/>
      <c r="H1185" s="5"/>
      <c r="I1185" s="5"/>
      <c r="J1185" s="5"/>
    </row>
    <row r="1186" spans="1:10" ht="13.5" customHeight="1" x14ac:dyDescent="0.2">
      <c r="A1186" s="78">
        <v>52161520</v>
      </c>
      <c r="B1186" s="64" t="str">
        <f ca="1">IFERROR(INDEX(UNSPSCDes,MATCH(INDIRECT(ADDRESS(ROW(),COLUMN()-1,4)),UNSPSCCode,0)),"")</f>
        <v>Micrófonos</v>
      </c>
      <c r="C1186" s="63" t="s">
        <v>1449</v>
      </c>
      <c r="D1186" s="63">
        <v>1</v>
      </c>
      <c r="E1186" s="66">
        <v>2100</v>
      </c>
      <c r="F1186" s="65">
        <f ca="1">INDIRECT(ADDRESS(ROW(),COLUMN()-2,4))*INDIRECT(ADDRESS(ROW(),COLUMN()-1,4))</f>
        <v>2100</v>
      </c>
      <c r="G1186" s="5"/>
      <c r="H1186" s="5"/>
      <c r="I1186" s="5"/>
      <c r="J1186" s="5"/>
    </row>
    <row r="1187" spans="1:10" ht="13.5" customHeight="1" x14ac:dyDescent="0.2">
      <c r="A1187" s="78">
        <v>52161533</v>
      </c>
      <c r="B1187" s="64" t="str">
        <f ca="1">IFERROR(INDEX(UNSPSCDes,MATCH(INDIRECT(ADDRESS(ROW(),COLUMN()-1,4)),UNSPSCCode,0)),"")</f>
        <v>Megáfonos</v>
      </c>
      <c r="C1187" s="63" t="s">
        <v>1449</v>
      </c>
      <c r="D1187" s="63">
        <v>1</v>
      </c>
      <c r="E1187" s="66">
        <v>1850</v>
      </c>
      <c r="F1187" s="65">
        <f ca="1">INDIRECT(ADDRESS(ROW(),COLUMN()-2,4))*INDIRECT(ADDRESS(ROW(),COLUMN()-1,4))</f>
        <v>1850</v>
      </c>
      <c r="G1187" s="5"/>
      <c r="H1187" s="5"/>
      <c r="I1187" s="5"/>
      <c r="J1187" s="5"/>
    </row>
    <row r="1188" spans="1:10" ht="14.1" customHeight="1" x14ac:dyDescent="0.2">
      <c r="A1188" s="5"/>
      <c r="B1188" s="5"/>
      <c r="C1188" s="5"/>
      <c r="D1188" s="5"/>
      <c r="E1188" s="68" t="s">
        <v>12550</v>
      </c>
      <c r="F1188" s="69">
        <f ca="1">SUM(Table366[MONTO TOTAL ESTIMADO])</f>
        <v>18200</v>
      </c>
      <c r="G1188" s="5"/>
      <c r="H1188" s="5" t="str">
        <f>C1178</f>
        <v>Bienes</v>
      </c>
      <c r="I1188" s="5" t="str">
        <f>E1178</f>
        <v>Sí</v>
      </c>
      <c r="J1188" s="5" t="str">
        <f>D1178</f>
        <v>Compras por debajo del Umbral</v>
      </c>
    </row>
    <row r="1189" spans="1:10" ht="14.1" customHeight="1" thickBot="1" x14ac:dyDescent="0.3"/>
    <row r="1190" spans="1:10" ht="33.75" customHeight="1" thickBot="1" x14ac:dyDescent="0.25">
      <c r="A1190" s="59" t="s">
        <v>16382</v>
      </c>
      <c r="B1190" s="59" t="s">
        <v>161</v>
      </c>
      <c r="C1190" s="59" t="s">
        <v>11724</v>
      </c>
      <c r="D1190" s="59" t="s">
        <v>14378</v>
      </c>
      <c r="E1190" s="59" t="s">
        <v>10962</v>
      </c>
      <c r="F1190" s="59" t="s">
        <v>11095</v>
      </c>
      <c r="G1190" s="5"/>
      <c r="H1190" s="5"/>
      <c r="I1190" s="5"/>
      <c r="J1190" s="5"/>
    </row>
    <row r="1191" spans="1:10" ht="13.5" customHeight="1" thickBot="1" x14ac:dyDescent="0.25">
      <c r="A1191" s="77" t="s">
        <v>18867</v>
      </c>
      <c r="B1191" s="77" t="s">
        <v>18866</v>
      </c>
      <c r="C1191" s="61" t="s">
        <v>17797</v>
      </c>
      <c r="D1191" s="61" t="s">
        <v>10171</v>
      </c>
      <c r="E1191" s="61" t="s">
        <v>8854</v>
      </c>
      <c r="F1191" s="61"/>
      <c r="G1191" s="5"/>
      <c r="H1191" s="5"/>
      <c r="I1191" s="5"/>
      <c r="J1191" s="5"/>
    </row>
    <row r="1192" spans="1:10" ht="14.1" customHeight="1" thickBot="1" x14ac:dyDescent="0.25">
      <c r="A1192" s="82" t="s">
        <v>14828</v>
      </c>
      <c r="B1192" s="62" t="s">
        <v>8528</v>
      </c>
      <c r="C1192" s="71">
        <v>43831</v>
      </c>
      <c r="D1192" s="82" t="s">
        <v>9385</v>
      </c>
      <c r="E1192" s="62" t="s">
        <v>13093</v>
      </c>
      <c r="F1192" s="61" t="s">
        <v>3080</v>
      </c>
      <c r="G1192" s="5"/>
      <c r="H1192" s="5"/>
      <c r="I1192" s="5"/>
      <c r="J1192" s="5"/>
    </row>
    <row r="1193" spans="1:10" ht="14.1" customHeight="1" thickBot="1" x14ac:dyDescent="0.25">
      <c r="A1193" s="83"/>
      <c r="B1193" s="62" t="s">
        <v>1786</v>
      </c>
      <c r="C1193" s="60">
        <f>IF(C1192="","",IF(AND(MONTH(C1192)&gt;=1,MONTH(C1192)&lt;=3),1,IF(AND(MONTH(C1192)&gt;=4,MONTH(C1192)&lt;=6),2,IF(AND(MONTH(C1192)&gt;=7,MONTH(C1192)&lt;=9),3,4))))</f>
        <v>1</v>
      </c>
      <c r="D1193" s="83"/>
      <c r="E1193" s="62" t="s">
        <v>2417</v>
      </c>
      <c r="F1193" s="61" t="s">
        <v>11112</v>
      </c>
      <c r="G1193" s="5"/>
      <c r="H1193" s="5"/>
      <c r="I1193" s="5"/>
      <c r="J1193" s="5"/>
    </row>
    <row r="1194" spans="1:10" ht="14.1" customHeight="1" thickBot="1" x14ac:dyDescent="0.25">
      <c r="A1194" s="83"/>
      <c r="B1194" s="62" t="s">
        <v>12942</v>
      </c>
      <c r="C1194" s="71">
        <v>43921</v>
      </c>
      <c r="D1194" s="83"/>
      <c r="E1194" s="62" t="s">
        <v>3073</v>
      </c>
      <c r="F1194" s="61" t="s">
        <v>11112</v>
      </c>
      <c r="G1194" s="5"/>
      <c r="H1194" s="5"/>
      <c r="I1194" s="5"/>
      <c r="J1194" s="5"/>
    </row>
    <row r="1195" spans="1:10" ht="14.1" customHeight="1" thickBot="1" x14ac:dyDescent="0.25">
      <c r="A1195" s="83"/>
      <c r="B1195" s="62" t="s">
        <v>1786</v>
      </c>
      <c r="C1195" s="60">
        <f>IF(C1194="","",IF(AND(MONTH(C1194)&gt;=1,MONTH(C1194)&lt;=3),1,IF(AND(MONTH(C1194)&gt;=4,MONTH(C1194)&lt;=6),2,IF(AND(MONTH(C1194)&gt;=7,MONTH(C1194)&lt;=9),3,4))))</f>
        <v>1</v>
      </c>
      <c r="D1195" s="83"/>
      <c r="E1195" s="62" t="s">
        <v>13192</v>
      </c>
      <c r="F1195" s="61" t="s">
        <v>11112</v>
      </c>
      <c r="G1195" s="5"/>
      <c r="H1195" s="5"/>
      <c r="I1195" s="5"/>
      <c r="J1195" s="5"/>
    </row>
    <row r="1196" spans="1:10" ht="14.1" customHeight="1" thickBot="1" x14ac:dyDescent="0.25">
      <c r="A1196" s="5"/>
      <c r="B1196" s="5"/>
      <c r="C1196" s="5"/>
      <c r="D1196" s="5"/>
      <c r="E1196" s="5"/>
      <c r="F1196" s="5"/>
      <c r="G1196" s="5"/>
      <c r="H1196" s="5"/>
      <c r="I1196" s="5"/>
      <c r="J1196" s="5"/>
    </row>
    <row r="1197" spans="1:10" ht="14.1" customHeight="1" thickBot="1" x14ac:dyDescent="0.25">
      <c r="A1197" s="67" t="s">
        <v>15735</v>
      </c>
      <c r="B1197" s="67" t="s">
        <v>16146</v>
      </c>
      <c r="C1197" s="67" t="s">
        <v>15641</v>
      </c>
      <c r="D1197" s="67" t="s">
        <v>15251</v>
      </c>
      <c r="E1197" s="67" t="s">
        <v>6932</v>
      </c>
      <c r="F1197" s="67" t="s">
        <v>15280</v>
      </c>
      <c r="G1197" s="5"/>
      <c r="H1197" s="5"/>
      <c r="I1197" s="5"/>
      <c r="J1197" s="5"/>
    </row>
    <row r="1198" spans="1:10" ht="13.5" customHeight="1" x14ac:dyDescent="0.2">
      <c r="A1198" s="78">
        <v>45121504</v>
      </c>
      <c r="B1198" s="64" t="str">
        <f ca="1">IFERROR(INDEX(UNSPSCDes,MATCH(INDIRECT(ADDRESS(ROW(),COLUMN()-1,4)),UNSPSCCode,0)),"")</f>
        <v>Cámaras digitales</v>
      </c>
      <c r="C1198" s="63" t="s">
        <v>1449</v>
      </c>
      <c r="D1198" s="63">
        <v>1</v>
      </c>
      <c r="E1198" s="66">
        <v>15000</v>
      </c>
      <c r="F1198" s="65">
        <f ca="1">INDIRECT(ADDRESS(ROW(),COLUMN()-2,4))*INDIRECT(ADDRESS(ROW(),COLUMN()-1,4))</f>
        <v>15000</v>
      </c>
      <c r="G1198" s="5"/>
      <c r="H1198" s="5"/>
      <c r="I1198" s="5"/>
      <c r="J1198" s="5"/>
    </row>
    <row r="1199" spans="1:10" ht="13.5" customHeight="1" x14ac:dyDescent="0.2">
      <c r="A1199" s="78">
        <v>45121516</v>
      </c>
      <c r="B1199" s="64" t="str">
        <f ca="1">IFERROR(INDEX(UNSPSCDes,MATCH(INDIRECT(ADDRESS(ROW(),COLUMN()-1,4)),UNSPSCCode,0)),"")</f>
        <v>Cámaras grabadoras o video cámaras digitales</v>
      </c>
      <c r="C1199" s="63" t="s">
        <v>1449</v>
      </c>
      <c r="D1199" s="63">
        <v>1</v>
      </c>
      <c r="E1199" s="66">
        <v>39000</v>
      </c>
      <c r="F1199" s="65">
        <f ca="1">INDIRECT(ADDRESS(ROW(),COLUMN()-2,4))*INDIRECT(ADDRESS(ROW(),COLUMN()-1,4))</f>
        <v>39000</v>
      </c>
      <c r="G1199" s="5"/>
      <c r="H1199" s="5"/>
      <c r="I1199" s="5"/>
      <c r="J1199" s="5"/>
    </row>
    <row r="1200" spans="1:10" ht="14.1" customHeight="1" x14ac:dyDescent="0.2">
      <c r="A1200" s="5"/>
      <c r="B1200" s="5"/>
      <c r="C1200" s="5"/>
      <c r="D1200" s="5"/>
      <c r="E1200" s="68" t="s">
        <v>12550</v>
      </c>
      <c r="F1200" s="69">
        <f ca="1">SUM(Table367[MONTO TOTAL ESTIMADO])</f>
        <v>54000</v>
      </c>
      <c r="G1200" s="5"/>
      <c r="H1200" s="5" t="str">
        <f>C1191</f>
        <v>Bienes</v>
      </c>
      <c r="I1200" s="5" t="str">
        <f>E1191</f>
        <v>Sí</v>
      </c>
      <c r="J1200" s="5" t="str">
        <f>D1191</f>
        <v>Compras por debajo del Umbral</v>
      </c>
    </row>
    <row r="1201" spans="1:10" ht="14.1" customHeight="1" thickBot="1" x14ac:dyDescent="0.3"/>
    <row r="1202" spans="1:10" ht="33.75" customHeight="1" thickBot="1" x14ac:dyDescent="0.25">
      <c r="A1202" s="59" t="s">
        <v>16382</v>
      </c>
      <c r="B1202" s="59" t="s">
        <v>161</v>
      </c>
      <c r="C1202" s="59" t="s">
        <v>11724</v>
      </c>
      <c r="D1202" s="59" t="s">
        <v>14378</v>
      </c>
      <c r="E1202" s="59" t="s">
        <v>10962</v>
      </c>
      <c r="F1202" s="59" t="s">
        <v>11095</v>
      </c>
      <c r="G1202" s="5"/>
      <c r="H1202" s="5"/>
      <c r="I1202" s="5"/>
      <c r="J1202" s="5"/>
    </row>
    <row r="1203" spans="1:10" ht="13.5" customHeight="1" thickBot="1" x14ac:dyDescent="0.25">
      <c r="A1203" s="77" t="s">
        <v>18867</v>
      </c>
      <c r="B1203" s="77" t="s">
        <v>18866</v>
      </c>
      <c r="C1203" s="61" t="s">
        <v>17797</v>
      </c>
      <c r="D1203" s="61" t="s">
        <v>10171</v>
      </c>
      <c r="E1203" s="61" t="s">
        <v>8854</v>
      </c>
      <c r="F1203" s="61"/>
      <c r="G1203" s="5"/>
      <c r="H1203" s="5"/>
      <c r="I1203" s="5"/>
      <c r="J1203" s="5"/>
    </row>
    <row r="1204" spans="1:10" ht="14.1" customHeight="1" thickBot="1" x14ac:dyDescent="0.25">
      <c r="A1204" s="82" t="s">
        <v>14828</v>
      </c>
      <c r="B1204" s="62" t="s">
        <v>8528</v>
      </c>
      <c r="C1204" s="71">
        <v>43922</v>
      </c>
      <c r="D1204" s="82" t="s">
        <v>9385</v>
      </c>
      <c r="E1204" s="62" t="s">
        <v>13093</v>
      </c>
      <c r="F1204" s="61" t="s">
        <v>3080</v>
      </c>
      <c r="G1204" s="5"/>
      <c r="H1204" s="5"/>
      <c r="I1204" s="5"/>
      <c r="J1204" s="5"/>
    </row>
    <row r="1205" spans="1:10" ht="14.1" customHeight="1" thickBot="1" x14ac:dyDescent="0.25">
      <c r="A1205" s="83"/>
      <c r="B1205" s="62" t="s">
        <v>1786</v>
      </c>
      <c r="C1205" s="60">
        <f>IF(C1204="","",IF(AND(MONTH(C1204)&gt;=1,MONTH(C1204)&lt;=3),1,IF(AND(MONTH(C1204)&gt;=4,MONTH(C1204)&lt;=6),2,IF(AND(MONTH(C1204)&gt;=7,MONTH(C1204)&lt;=9),3,4))))</f>
        <v>2</v>
      </c>
      <c r="D1205" s="83"/>
      <c r="E1205" s="62" t="s">
        <v>2417</v>
      </c>
      <c r="F1205" s="61" t="s">
        <v>11112</v>
      </c>
      <c r="G1205" s="5"/>
      <c r="H1205" s="5"/>
      <c r="I1205" s="5"/>
      <c r="J1205" s="5"/>
    </row>
    <row r="1206" spans="1:10" ht="14.1" customHeight="1" thickBot="1" x14ac:dyDescent="0.25">
      <c r="A1206" s="83"/>
      <c r="B1206" s="62" t="s">
        <v>12942</v>
      </c>
      <c r="C1206" s="71">
        <v>44012</v>
      </c>
      <c r="D1206" s="83"/>
      <c r="E1206" s="62" t="s">
        <v>3073</v>
      </c>
      <c r="F1206" s="61" t="s">
        <v>11112</v>
      </c>
      <c r="G1206" s="5"/>
      <c r="H1206" s="5"/>
      <c r="I1206" s="5"/>
      <c r="J1206" s="5"/>
    </row>
    <row r="1207" spans="1:10" ht="14.1" customHeight="1" thickBot="1" x14ac:dyDescent="0.25">
      <c r="A1207" s="83"/>
      <c r="B1207" s="62" t="s">
        <v>1786</v>
      </c>
      <c r="C1207" s="60">
        <f>IF(C1206="","",IF(AND(MONTH(C1206)&gt;=1,MONTH(C1206)&lt;=3),1,IF(AND(MONTH(C1206)&gt;=4,MONTH(C1206)&lt;=6),2,IF(AND(MONTH(C1206)&gt;=7,MONTH(C1206)&lt;=9),3,4))))</f>
        <v>2</v>
      </c>
      <c r="D1207" s="83"/>
      <c r="E1207" s="62" t="s">
        <v>13192</v>
      </c>
      <c r="F1207" s="61" t="s">
        <v>11112</v>
      </c>
      <c r="G1207" s="5"/>
      <c r="H1207" s="5"/>
      <c r="I1207" s="5"/>
      <c r="J1207" s="5"/>
    </row>
    <row r="1208" spans="1:10" ht="14.1" customHeight="1" thickBot="1" x14ac:dyDescent="0.25">
      <c r="A1208" s="5"/>
      <c r="B1208" s="5"/>
      <c r="C1208" s="5"/>
      <c r="D1208" s="5"/>
      <c r="E1208" s="5"/>
      <c r="F1208" s="5"/>
      <c r="G1208" s="5"/>
      <c r="H1208" s="5"/>
      <c r="I1208" s="5"/>
      <c r="J1208" s="5"/>
    </row>
    <row r="1209" spans="1:10" ht="14.1" customHeight="1" thickBot="1" x14ac:dyDescent="0.25">
      <c r="A1209" s="67" t="s">
        <v>15735</v>
      </c>
      <c r="B1209" s="67" t="s">
        <v>16146</v>
      </c>
      <c r="C1209" s="67" t="s">
        <v>15641</v>
      </c>
      <c r="D1209" s="67" t="s">
        <v>15251</v>
      </c>
      <c r="E1209" s="67" t="s">
        <v>6932</v>
      </c>
      <c r="F1209" s="67" t="s">
        <v>15280</v>
      </c>
      <c r="G1209" s="5"/>
      <c r="H1209" s="5"/>
      <c r="I1209" s="5"/>
      <c r="J1209" s="5"/>
    </row>
    <row r="1210" spans="1:10" ht="13.5" customHeight="1" x14ac:dyDescent="0.2">
      <c r="A1210" s="78">
        <v>45121504</v>
      </c>
      <c r="B1210" s="64" t="str">
        <f ca="1">IFERROR(INDEX(UNSPSCDes,MATCH(INDIRECT(ADDRESS(ROW(),COLUMN()-1,4)),UNSPSCCode,0)),"")</f>
        <v>Cámaras digitales</v>
      </c>
      <c r="C1210" s="63" t="s">
        <v>1449</v>
      </c>
      <c r="D1210" s="63">
        <v>3</v>
      </c>
      <c r="E1210" s="66">
        <v>15000</v>
      </c>
      <c r="F1210" s="65">
        <f ca="1">INDIRECT(ADDRESS(ROW(),COLUMN()-2,4))*INDIRECT(ADDRESS(ROW(),COLUMN()-1,4))</f>
        <v>45000</v>
      </c>
      <c r="G1210" s="5"/>
      <c r="H1210" s="5"/>
      <c r="I1210" s="5"/>
      <c r="J1210" s="5"/>
    </row>
    <row r="1211" spans="1:10" ht="13.5" customHeight="1" x14ac:dyDescent="0.2">
      <c r="A1211" s="78">
        <v>45121602</v>
      </c>
      <c r="B1211" s="64" t="str">
        <f ca="1">IFERROR(INDEX(UNSPSCDes,MATCH(INDIRECT(ADDRESS(ROW(),COLUMN()-1,4)),UNSPSCCode,0)),"")</f>
        <v>Trípodes para cámaras</v>
      </c>
      <c r="C1211" s="63" t="s">
        <v>1449</v>
      </c>
      <c r="D1211" s="63">
        <v>1</v>
      </c>
      <c r="E1211" s="66">
        <v>2000</v>
      </c>
      <c r="F1211" s="65">
        <f ca="1">INDIRECT(ADDRESS(ROW(),COLUMN()-2,4))*INDIRECT(ADDRESS(ROW(),COLUMN()-1,4))</f>
        <v>2000</v>
      </c>
      <c r="G1211" s="5"/>
      <c r="H1211" s="5"/>
      <c r="I1211" s="5"/>
      <c r="J1211" s="5"/>
    </row>
    <row r="1212" spans="1:10" ht="13.5" customHeight="1" x14ac:dyDescent="0.2">
      <c r="A1212" s="78">
        <v>45121516</v>
      </c>
      <c r="B1212" s="64" t="str">
        <f ca="1">IFERROR(INDEX(UNSPSCDes,MATCH(INDIRECT(ADDRESS(ROW(),COLUMN()-1,4)),UNSPSCCode,0)),"")</f>
        <v>Cámaras grabadoras o video cámaras digitales</v>
      </c>
      <c r="C1212" s="63" t="s">
        <v>1449</v>
      </c>
      <c r="D1212" s="63">
        <v>1</v>
      </c>
      <c r="E1212" s="66">
        <v>39000</v>
      </c>
      <c r="F1212" s="65">
        <f ca="1">INDIRECT(ADDRESS(ROW(),COLUMN()-2,4))*INDIRECT(ADDRESS(ROW(),COLUMN()-1,4))</f>
        <v>39000</v>
      </c>
      <c r="G1212" s="5"/>
      <c r="H1212" s="5"/>
      <c r="I1212" s="5"/>
      <c r="J1212" s="5"/>
    </row>
    <row r="1213" spans="1:10" ht="14.1" customHeight="1" x14ac:dyDescent="0.2">
      <c r="A1213" s="5"/>
      <c r="B1213" s="5"/>
      <c r="C1213" s="5"/>
      <c r="D1213" s="5"/>
      <c r="E1213" s="68" t="s">
        <v>12550</v>
      </c>
      <c r="F1213" s="69">
        <f ca="1">SUM(Table368[MONTO TOTAL ESTIMADO])</f>
        <v>86000</v>
      </c>
      <c r="G1213" s="5"/>
      <c r="H1213" s="5" t="str">
        <f>C1203</f>
        <v>Bienes</v>
      </c>
      <c r="I1213" s="5" t="str">
        <f>E1203</f>
        <v>Sí</v>
      </c>
      <c r="J1213" s="5" t="str">
        <f>D1203</f>
        <v>Compras por debajo del Umbral</v>
      </c>
    </row>
    <row r="1214" spans="1:10" ht="14.1" customHeight="1" thickBot="1" x14ac:dyDescent="0.3"/>
    <row r="1215" spans="1:10" ht="33.75" customHeight="1" thickBot="1" x14ac:dyDescent="0.25">
      <c r="A1215" s="59" t="s">
        <v>16382</v>
      </c>
      <c r="B1215" s="59" t="s">
        <v>161</v>
      </c>
      <c r="C1215" s="59" t="s">
        <v>11724</v>
      </c>
      <c r="D1215" s="59" t="s">
        <v>14378</v>
      </c>
      <c r="E1215" s="59" t="s">
        <v>10962</v>
      </c>
      <c r="F1215" s="59" t="s">
        <v>11095</v>
      </c>
      <c r="G1215" s="5"/>
      <c r="H1215" s="5"/>
      <c r="I1215" s="5"/>
      <c r="J1215" s="5"/>
    </row>
    <row r="1216" spans="1:10" ht="13.5" customHeight="1" thickBot="1" x14ac:dyDescent="0.25">
      <c r="A1216" s="77" t="s">
        <v>18867</v>
      </c>
      <c r="B1216" s="77" t="s">
        <v>18866</v>
      </c>
      <c r="C1216" s="61" t="s">
        <v>17797</v>
      </c>
      <c r="D1216" s="61" t="s">
        <v>10171</v>
      </c>
      <c r="E1216" s="61" t="s">
        <v>8854</v>
      </c>
      <c r="F1216" s="61"/>
      <c r="G1216" s="5"/>
      <c r="H1216" s="5"/>
      <c r="I1216" s="5"/>
      <c r="J1216" s="5"/>
    </row>
    <row r="1217" spans="1:10" ht="14.1" customHeight="1" thickBot="1" x14ac:dyDescent="0.25">
      <c r="A1217" s="82" t="s">
        <v>14828</v>
      </c>
      <c r="B1217" s="62" t="s">
        <v>8528</v>
      </c>
      <c r="C1217" s="71">
        <v>44013</v>
      </c>
      <c r="D1217" s="82" t="s">
        <v>9385</v>
      </c>
      <c r="E1217" s="62" t="s">
        <v>13093</v>
      </c>
      <c r="F1217" s="61" t="s">
        <v>3080</v>
      </c>
      <c r="G1217" s="5"/>
      <c r="H1217" s="5"/>
      <c r="I1217" s="5"/>
      <c r="J1217" s="5"/>
    </row>
    <row r="1218" spans="1:10" ht="14.1" customHeight="1" thickBot="1" x14ac:dyDescent="0.25">
      <c r="A1218" s="83"/>
      <c r="B1218" s="62" t="s">
        <v>1786</v>
      </c>
      <c r="C1218" s="60">
        <f>IF(C1217="","",IF(AND(MONTH(C1217)&gt;=1,MONTH(C1217)&lt;=3),1,IF(AND(MONTH(C1217)&gt;=4,MONTH(C1217)&lt;=6),2,IF(AND(MONTH(C1217)&gt;=7,MONTH(C1217)&lt;=9),3,4))))</f>
        <v>3</v>
      </c>
      <c r="D1218" s="83"/>
      <c r="E1218" s="62" t="s">
        <v>2417</v>
      </c>
      <c r="F1218" s="61" t="s">
        <v>11112</v>
      </c>
      <c r="G1218" s="5"/>
      <c r="H1218" s="5"/>
      <c r="I1218" s="5"/>
      <c r="J1218" s="5"/>
    </row>
    <row r="1219" spans="1:10" ht="14.1" customHeight="1" thickBot="1" x14ac:dyDescent="0.25">
      <c r="A1219" s="83"/>
      <c r="B1219" s="62" t="s">
        <v>12942</v>
      </c>
      <c r="C1219" s="71">
        <v>44104</v>
      </c>
      <c r="D1219" s="83"/>
      <c r="E1219" s="62" t="s">
        <v>3073</v>
      </c>
      <c r="F1219" s="61" t="s">
        <v>11112</v>
      </c>
      <c r="G1219" s="5"/>
      <c r="H1219" s="5"/>
      <c r="I1219" s="5"/>
      <c r="J1219" s="5"/>
    </row>
    <row r="1220" spans="1:10" ht="14.1" customHeight="1" thickBot="1" x14ac:dyDescent="0.25">
      <c r="A1220" s="83"/>
      <c r="B1220" s="62" t="s">
        <v>1786</v>
      </c>
      <c r="C1220" s="60">
        <f>IF(C1219="","",IF(AND(MONTH(C1219)&gt;=1,MONTH(C1219)&lt;=3),1,IF(AND(MONTH(C1219)&gt;=4,MONTH(C1219)&lt;=6),2,IF(AND(MONTH(C1219)&gt;=7,MONTH(C1219)&lt;=9),3,4))))</f>
        <v>3</v>
      </c>
      <c r="D1220" s="83"/>
      <c r="E1220" s="62" t="s">
        <v>13192</v>
      </c>
      <c r="F1220" s="61" t="s">
        <v>11112</v>
      </c>
      <c r="G1220" s="5"/>
      <c r="H1220" s="5"/>
      <c r="I1220" s="5"/>
      <c r="J1220" s="5"/>
    </row>
    <row r="1221" spans="1:10" ht="14.1" customHeight="1" thickBot="1" x14ac:dyDescent="0.25">
      <c r="A1221" s="5"/>
      <c r="B1221" s="5"/>
      <c r="C1221" s="5"/>
      <c r="D1221" s="5"/>
      <c r="E1221" s="5"/>
      <c r="F1221" s="5"/>
      <c r="G1221" s="5"/>
      <c r="H1221" s="5"/>
      <c r="I1221" s="5"/>
      <c r="J1221" s="5"/>
    </row>
    <row r="1222" spans="1:10" ht="14.1" customHeight="1" thickBot="1" x14ac:dyDescent="0.25">
      <c r="A1222" s="67" t="s">
        <v>15735</v>
      </c>
      <c r="B1222" s="67" t="s">
        <v>16146</v>
      </c>
      <c r="C1222" s="67" t="s">
        <v>15641</v>
      </c>
      <c r="D1222" s="67" t="s">
        <v>15251</v>
      </c>
      <c r="E1222" s="67" t="s">
        <v>6932</v>
      </c>
      <c r="F1222" s="67" t="s">
        <v>15280</v>
      </c>
      <c r="G1222" s="5"/>
      <c r="H1222" s="5"/>
      <c r="I1222" s="5"/>
      <c r="J1222" s="5"/>
    </row>
    <row r="1223" spans="1:10" ht="13.5" customHeight="1" x14ac:dyDescent="0.2">
      <c r="A1223" s="78">
        <v>45121504</v>
      </c>
      <c r="B1223" s="64" t="str">
        <f ca="1">IFERROR(INDEX(UNSPSCDes,MATCH(INDIRECT(ADDRESS(ROW(),COLUMN()-1,4)),UNSPSCCode,0)),"")</f>
        <v>Cámaras digitales</v>
      </c>
      <c r="C1223" s="63" t="s">
        <v>1449</v>
      </c>
      <c r="D1223" s="63">
        <v>2</v>
      </c>
      <c r="E1223" s="66">
        <v>15000</v>
      </c>
      <c r="F1223" s="65">
        <f ca="1">INDIRECT(ADDRESS(ROW(),COLUMN()-2,4))*INDIRECT(ADDRESS(ROW(),COLUMN()-1,4))</f>
        <v>30000</v>
      </c>
      <c r="G1223" s="5"/>
      <c r="H1223" s="5"/>
      <c r="I1223" s="5"/>
      <c r="J1223" s="5"/>
    </row>
    <row r="1224" spans="1:10" ht="14.1" customHeight="1" x14ac:dyDescent="0.2">
      <c r="A1224" s="5"/>
      <c r="B1224" s="5"/>
      <c r="C1224" s="5"/>
      <c r="D1224" s="5"/>
      <c r="E1224" s="68" t="s">
        <v>12550</v>
      </c>
      <c r="F1224" s="69">
        <f ca="1">SUM(Table369[MONTO TOTAL ESTIMADO])</f>
        <v>30000</v>
      </c>
      <c r="G1224" s="5"/>
      <c r="H1224" s="5" t="str">
        <f>C1216</f>
        <v>Bienes</v>
      </c>
      <c r="I1224" s="5" t="str">
        <f>E1216</f>
        <v>Sí</v>
      </c>
      <c r="J1224" s="5" t="str">
        <f>D1216</f>
        <v>Compras por debajo del Umbral</v>
      </c>
    </row>
    <row r="1225" spans="1:10" ht="14.1" customHeight="1" thickBot="1" x14ac:dyDescent="0.3"/>
    <row r="1226" spans="1:10" ht="33.75" customHeight="1" thickBot="1" x14ac:dyDescent="0.25">
      <c r="A1226" s="59" t="s">
        <v>16382</v>
      </c>
      <c r="B1226" s="59" t="s">
        <v>161</v>
      </c>
      <c r="C1226" s="59" t="s">
        <v>11724</v>
      </c>
      <c r="D1226" s="59" t="s">
        <v>14378</v>
      </c>
      <c r="E1226" s="59" t="s">
        <v>10962</v>
      </c>
      <c r="F1226" s="59" t="s">
        <v>11095</v>
      </c>
      <c r="G1226" s="5"/>
      <c r="H1226" s="5"/>
      <c r="I1226" s="5"/>
      <c r="J1226" s="5"/>
    </row>
    <row r="1227" spans="1:10" ht="13.5" customHeight="1" thickBot="1" x14ac:dyDescent="0.25">
      <c r="A1227" s="77" t="s">
        <v>18867</v>
      </c>
      <c r="B1227" s="77" t="s">
        <v>18866</v>
      </c>
      <c r="C1227" s="61" t="s">
        <v>17797</v>
      </c>
      <c r="D1227" s="61" t="s">
        <v>10171</v>
      </c>
      <c r="E1227" s="61" t="s">
        <v>8854</v>
      </c>
      <c r="F1227" s="61"/>
      <c r="G1227" s="5"/>
      <c r="H1227" s="5"/>
      <c r="I1227" s="5"/>
      <c r="J1227" s="5"/>
    </row>
    <row r="1228" spans="1:10" ht="14.1" customHeight="1" thickBot="1" x14ac:dyDescent="0.25">
      <c r="A1228" s="82" t="s">
        <v>14828</v>
      </c>
      <c r="B1228" s="62" t="s">
        <v>8528</v>
      </c>
      <c r="C1228" s="71">
        <v>44105</v>
      </c>
      <c r="D1228" s="82" t="s">
        <v>9385</v>
      </c>
      <c r="E1228" s="62" t="s">
        <v>13093</v>
      </c>
      <c r="F1228" s="61" t="s">
        <v>3080</v>
      </c>
      <c r="G1228" s="5"/>
      <c r="H1228" s="5"/>
      <c r="I1228" s="5"/>
      <c r="J1228" s="5"/>
    </row>
    <row r="1229" spans="1:10" ht="14.1" customHeight="1" thickBot="1" x14ac:dyDescent="0.25">
      <c r="A1229" s="83"/>
      <c r="B1229" s="62" t="s">
        <v>1786</v>
      </c>
      <c r="C1229" s="60">
        <f>IF(C1228="","",IF(AND(MONTH(C1228)&gt;=1,MONTH(C1228)&lt;=3),1,IF(AND(MONTH(C1228)&gt;=4,MONTH(C1228)&lt;=6),2,IF(AND(MONTH(C1228)&gt;=7,MONTH(C1228)&lt;=9),3,4))))</f>
        <v>4</v>
      </c>
      <c r="D1229" s="83"/>
      <c r="E1229" s="62" t="s">
        <v>2417</v>
      </c>
      <c r="F1229" s="61" t="s">
        <v>11112</v>
      </c>
      <c r="G1229" s="5"/>
      <c r="H1229" s="5"/>
      <c r="I1229" s="5"/>
      <c r="J1229" s="5"/>
    </row>
    <row r="1230" spans="1:10" ht="14.1" customHeight="1" thickBot="1" x14ac:dyDescent="0.25">
      <c r="A1230" s="83"/>
      <c r="B1230" s="62" t="s">
        <v>12942</v>
      </c>
      <c r="C1230" s="71">
        <v>44196</v>
      </c>
      <c r="D1230" s="83"/>
      <c r="E1230" s="62" t="s">
        <v>3073</v>
      </c>
      <c r="F1230" s="61" t="s">
        <v>11112</v>
      </c>
      <c r="G1230" s="5"/>
      <c r="H1230" s="5"/>
      <c r="I1230" s="5"/>
      <c r="J1230" s="5"/>
    </row>
    <row r="1231" spans="1:10" ht="14.1" customHeight="1" thickBot="1" x14ac:dyDescent="0.25">
      <c r="A1231" s="83"/>
      <c r="B1231" s="62" t="s">
        <v>1786</v>
      </c>
      <c r="C1231" s="60">
        <f>IF(C1230="","",IF(AND(MONTH(C1230)&gt;=1,MONTH(C1230)&lt;=3),1,IF(AND(MONTH(C1230)&gt;=4,MONTH(C1230)&lt;=6),2,IF(AND(MONTH(C1230)&gt;=7,MONTH(C1230)&lt;=9),3,4))))</f>
        <v>4</v>
      </c>
      <c r="D1231" s="83"/>
      <c r="E1231" s="62" t="s">
        <v>13192</v>
      </c>
      <c r="F1231" s="61" t="s">
        <v>11112</v>
      </c>
      <c r="G1231" s="5"/>
      <c r="H1231" s="5"/>
      <c r="I1231" s="5"/>
      <c r="J1231" s="5"/>
    </row>
    <row r="1232" spans="1:10" ht="14.1" customHeight="1" thickBot="1" x14ac:dyDescent="0.25">
      <c r="A1232" s="5"/>
      <c r="B1232" s="5"/>
      <c r="C1232" s="5"/>
      <c r="D1232" s="5"/>
      <c r="E1232" s="5"/>
      <c r="F1232" s="5"/>
      <c r="G1232" s="5"/>
      <c r="H1232" s="5"/>
      <c r="I1232" s="5"/>
      <c r="J1232" s="5"/>
    </row>
    <row r="1233" spans="1:10" ht="14.1" customHeight="1" thickBot="1" x14ac:dyDescent="0.25">
      <c r="A1233" s="67" t="s">
        <v>15735</v>
      </c>
      <c r="B1233" s="67" t="s">
        <v>16146</v>
      </c>
      <c r="C1233" s="67" t="s">
        <v>15641</v>
      </c>
      <c r="D1233" s="67" t="s">
        <v>15251</v>
      </c>
      <c r="E1233" s="67" t="s">
        <v>6932</v>
      </c>
      <c r="F1233" s="67" t="s">
        <v>15280</v>
      </c>
      <c r="G1233" s="5"/>
      <c r="H1233" s="5"/>
      <c r="I1233" s="5"/>
      <c r="J1233" s="5"/>
    </row>
    <row r="1234" spans="1:10" ht="13.5" customHeight="1" x14ac:dyDescent="0.2">
      <c r="A1234" s="78">
        <v>45121504</v>
      </c>
      <c r="B1234" s="64" t="str">
        <f ca="1">IFERROR(INDEX(UNSPSCDes,MATCH(INDIRECT(ADDRESS(ROW(),COLUMN()-1,4)),UNSPSCCode,0)),"")</f>
        <v>Cámaras digitales</v>
      </c>
      <c r="C1234" s="63" t="s">
        <v>1449</v>
      </c>
      <c r="D1234" s="63">
        <v>2</v>
      </c>
      <c r="E1234" s="66">
        <v>15000</v>
      </c>
      <c r="F1234" s="65">
        <f ca="1">INDIRECT(ADDRESS(ROW(),COLUMN()-2,4))*INDIRECT(ADDRESS(ROW(),COLUMN()-1,4))</f>
        <v>30000</v>
      </c>
      <c r="G1234" s="5"/>
      <c r="H1234" s="5"/>
      <c r="I1234" s="5"/>
      <c r="J1234" s="5"/>
    </row>
    <row r="1235" spans="1:10" ht="14.1" customHeight="1" x14ac:dyDescent="0.2">
      <c r="A1235" s="5"/>
      <c r="B1235" s="5"/>
      <c r="C1235" s="5"/>
      <c r="D1235" s="5"/>
      <c r="E1235" s="68" t="s">
        <v>12550</v>
      </c>
      <c r="F1235" s="69">
        <f ca="1">SUM(Table370[MONTO TOTAL ESTIMADO])</f>
        <v>30000</v>
      </c>
      <c r="G1235" s="5"/>
      <c r="H1235" s="5" t="str">
        <f>C1227</f>
        <v>Bienes</v>
      </c>
      <c r="I1235" s="5" t="str">
        <f>E1227</f>
        <v>Sí</v>
      </c>
      <c r="J1235" s="5" t="str">
        <f>D1227</f>
        <v>Compras por debajo del Umbral</v>
      </c>
    </row>
    <row r="1236" spans="1:10" ht="14.1" customHeight="1" thickBot="1" x14ac:dyDescent="0.3"/>
    <row r="1237" spans="1:10" ht="33.75" customHeight="1" thickBot="1" x14ac:dyDescent="0.25">
      <c r="A1237" s="59" t="s">
        <v>16382</v>
      </c>
      <c r="B1237" s="59" t="s">
        <v>161</v>
      </c>
      <c r="C1237" s="59" t="s">
        <v>11724</v>
      </c>
      <c r="D1237" s="59" t="s">
        <v>14378</v>
      </c>
      <c r="E1237" s="59" t="s">
        <v>10962</v>
      </c>
      <c r="F1237" s="59" t="s">
        <v>11095</v>
      </c>
      <c r="G1237" s="5"/>
      <c r="H1237" s="5"/>
      <c r="I1237" s="5"/>
      <c r="J1237" s="5"/>
    </row>
    <row r="1238" spans="1:10" ht="13.5" customHeight="1" thickBot="1" x14ac:dyDescent="0.25">
      <c r="A1238" s="77" t="s">
        <v>18868</v>
      </c>
      <c r="B1238" s="77" t="s">
        <v>18869</v>
      </c>
      <c r="C1238" s="61" t="s">
        <v>17797</v>
      </c>
      <c r="D1238" s="61" t="s">
        <v>1875</v>
      </c>
      <c r="E1238" s="61" t="s">
        <v>17853</v>
      </c>
      <c r="F1238" s="61"/>
      <c r="G1238" s="5"/>
      <c r="H1238" s="5"/>
      <c r="I1238" s="5"/>
      <c r="J1238" s="5"/>
    </row>
    <row r="1239" spans="1:10" ht="14.1" customHeight="1" thickBot="1" x14ac:dyDescent="0.25">
      <c r="A1239" s="82" t="s">
        <v>14828</v>
      </c>
      <c r="B1239" s="62" t="s">
        <v>8528</v>
      </c>
      <c r="C1239" s="71">
        <v>43922</v>
      </c>
      <c r="D1239" s="82" t="s">
        <v>9385</v>
      </c>
      <c r="E1239" s="62" t="s">
        <v>13093</v>
      </c>
      <c r="F1239" s="61" t="s">
        <v>3080</v>
      </c>
      <c r="G1239" s="5"/>
      <c r="H1239" s="5"/>
      <c r="I1239" s="5"/>
      <c r="J1239" s="5"/>
    </row>
    <row r="1240" spans="1:10" ht="14.1" customHeight="1" thickBot="1" x14ac:dyDescent="0.25">
      <c r="A1240" s="83"/>
      <c r="B1240" s="62" t="s">
        <v>1786</v>
      </c>
      <c r="C1240" s="60">
        <f>IF(C1239="","",IF(AND(MONTH(C1239)&gt;=1,MONTH(C1239)&lt;=3),1,IF(AND(MONTH(C1239)&gt;=4,MONTH(C1239)&lt;=6),2,IF(AND(MONTH(C1239)&gt;=7,MONTH(C1239)&lt;=9),3,4))))</f>
        <v>2</v>
      </c>
      <c r="D1240" s="83"/>
      <c r="E1240" s="62" t="s">
        <v>2417</v>
      </c>
      <c r="F1240" s="61" t="s">
        <v>11112</v>
      </c>
      <c r="G1240" s="5"/>
      <c r="H1240" s="5"/>
      <c r="I1240" s="5"/>
      <c r="J1240" s="5"/>
    </row>
    <row r="1241" spans="1:10" ht="14.1" customHeight="1" thickBot="1" x14ac:dyDescent="0.25">
      <c r="A1241" s="83"/>
      <c r="B1241" s="62" t="s">
        <v>12942</v>
      </c>
      <c r="C1241" s="71">
        <v>44012</v>
      </c>
      <c r="D1241" s="83"/>
      <c r="E1241" s="62" t="s">
        <v>3073</v>
      </c>
      <c r="F1241" s="61" t="s">
        <v>11112</v>
      </c>
      <c r="G1241" s="5"/>
      <c r="H1241" s="5"/>
      <c r="I1241" s="5"/>
      <c r="J1241" s="5"/>
    </row>
    <row r="1242" spans="1:10" ht="14.1" customHeight="1" thickBot="1" x14ac:dyDescent="0.25">
      <c r="A1242" s="83"/>
      <c r="B1242" s="62" t="s">
        <v>1786</v>
      </c>
      <c r="C1242" s="60">
        <f>IF(C1241="","",IF(AND(MONTH(C1241)&gt;=1,MONTH(C1241)&lt;=3),1,IF(AND(MONTH(C1241)&gt;=4,MONTH(C1241)&lt;=6),2,IF(AND(MONTH(C1241)&gt;=7,MONTH(C1241)&lt;=9),3,4))))</f>
        <v>2</v>
      </c>
      <c r="D1242" s="83"/>
      <c r="E1242" s="62" t="s">
        <v>13192</v>
      </c>
      <c r="F1242" s="61" t="s">
        <v>11112</v>
      </c>
      <c r="G1242" s="5"/>
      <c r="H1242" s="5"/>
      <c r="I1242" s="5"/>
      <c r="J1242" s="5"/>
    </row>
    <row r="1243" spans="1:10" ht="14.1" customHeight="1" thickBot="1" x14ac:dyDescent="0.25">
      <c r="A1243" s="5"/>
      <c r="B1243" s="5"/>
      <c r="C1243" s="5"/>
      <c r="D1243" s="5"/>
      <c r="E1243" s="5"/>
      <c r="F1243" s="5"/>
      <c r="G1243" s="5"/>
      <c r="H1243" s="5"/>
      <c r="I1243" s="5"/>
      <c r="J1243" s="5"/>
    </row>
    <row r="1244" spans="1:10" ht="14.1" customHeight="1" thickBot="1" x14ac:dyDescent="0.25">
      <c r="A1244" s="67" t="s">
        <v>15735</v>
      </c>
      <c r="B1244" s="67" t="s">
        <v>16146</v>
      </c>
      <c r="C1244" s="67" t="s">
        <v>15641</v>
      </c>
      <c r="D1244" s="67" t="s">
        <v>15251</v>
      </c>
      <c r="E1244" s="67" t="s">
        <v>6932</v>
      </c>
      <c r="F1244" s="67" t="s">
        <v>15280</v>
      </c>
      <c r="G1244" s="5"/>
      <c r="H1244" s="5"/>
      <c r="I1244" s="5"/>
      <c r="J1244" s="5"/>
    </row>
    <row r="1245" spans="1:10" ht="13.5" customHeight="1" x14ac:dyDescent="0.2">
      <c r="A1245" s="78">
        <v>25101501</v>
      </c>
      <c r="B1245" s="64" t="str">
        <f ca="1">IFERROR(INDEX(UNSPSCDes,MATCH(INDIRECT(ADDRESS(ROW(),COLUMN()-1,4)),UNSPSCCode,0)),"")</f>
        <v>Minibuses</v>
      </c>
      <c r="C1245" s="63" t="s">
        <v>1449</v>
      </c>
      <c r="D1245" s="63">
        <v>1</v>
      </c>
      <c r="E1245" s="66">
        <v>1400000</v>
      </c>
      <c r="F1245" s="65">
        <f ca="1">INDIRECT(ADDRESS(ROW(),COLUMN()-2,4))*INDIRECT(ADDRESS(ROW(),COLUMN()-1,4))</f>
        <v>1400000</v>
      </c>
      <c r="G1245" s="5"/>
      <c r="H1245" s="5"/>
      <c r="I1245" s="5"/>
      <c r="J1245" s="5"/>
    </row>
    <row r="1246" spans="1:10" ht="14.1" customHeight="1" x14ac:dyDescent="0.2">
      <c r="A1246" s="5"/>
      <c r="B1246" s="5"/>
      <c r="C1246" s="5"/>
      <c r="D1246" s="5"/>
      <c r="E1246" s="68" t="s">
        <v>12550</v>
      </c>
      <c r="F1246" s="69">
        <f ca="1">SUM(Table371[MONTO TOTAL ESTIMADO])</f>
        <v>1400000</v>
      </c>
      <c r="G1246" s="5"/>
      <c r="H1246" s="5" t="str">
        <f>C1238</f>
        <v>Bienes</v>
      </c>
      <c r="I1246" s="5" t="str">
        <f>E1238</f>
        <v>No</v>
      </c>
      <c r="J1246" s="5" t="str">
        <f>D1238</f>
        <v>Comparacion de Precios</v>
      </c>
    </row>
    <row r="1247" spans="1:10" ht="14.1" customHeight="1" thickBot="1" x14ac:dyDescent="0.3"/>
    <row r="1248" spans="1:10" ht="33.75" customHeight="1" thickBot="1" x14ac:dyDescent="0.25">
      <c r="A1248" s="59" t="s">
        <v>16382</v>
      </c>
      <c r="B1248" s="59" t="s">
        <v>161</v>
      </c>
      <c r="C1248" s="59" t="s">
        <v>11724</v>
      </c>
      <c r="D1248" s="59" t="s">
        <v>14378</v>
      </c>
      <c r="E1248" s="59" t="s">
        <v>10962</v>
      </c>
      <c r="F1248" s="59" t="s">
        <v>11095</v>
      </c>
      <c r="G1248" s="5"/>
      <c r="H1248" s="5"/>
      <c r="I1248" s="5"/>
      <c r="J1248" s="5"/>
    </row>
    <row r="1249" spans="1:10" ht="13.5" customHeight="1" thickBot="1" x14ac:dyDescent="0.25">
      <c r="A1249" s="77" t="s">
        <v>18871</v>
      </c>
      <c r="B1249" s="77" t="s">
        <v>18870</v>
      </c>
      <c r="C1249" s="61" t="s">
        <v>17797</v>
      </c>
      <c r="D1249" s="61" t="s">
        <v>10171</v>
      </c>
      <c r="E1249" s="61" t="s">
        <v>8854</v>
      </c>
      <c r="F1249" s="61"/>
      <c r="G1249" s="5"/>
      <c r="H1249" s="5"/>
      <c r="I1249" s="5"/>
      <c r="J1249" s="5"/>
    </row>
    <row r="1250" spans="1:10" ht="14.1" customHeight="1" thickBot="1" x14ac:dyDescent="0.25">
      <c r="A1250" s="82" t="s">
        <v>14828</v>
      </c>
      <c r="B1250" s="62" t="s">
        <v>8528</v>
      </c>
      <c r="C1250" s="71">
        <v>43831</v>
      </c>
      <c r="D1250" s="82" t="s">
        <v>9385</v>
      </c>
      <c r="E1250" s="62" t="s">
        <v>13093</v>
      </c>
      <c r="F1250" s="61" t="s">
        <v>3080</v>
      </c>
      <c r="G1250" s="5"/>
      <c r="H1250" s="5"/>
      <c r="I1250" s="5"/>
      <c r="J1250" s="5"/>
    </row>
    <row r="1251" spans="1:10" ht="14.1" customHeight="1" thickBot="1" x14ac:dyDescent="0.25">
      <c r="A1251" s="83"/>
      <c r="B1251" s="62" t="s">
        <v>1786</v>
      </c>
      <c r="C1251" s="60">
        <f>IF(C1250="","",IF(AND(MONTH(C1250)&gt;=1,MONTH(C1250)&lt;=3),1,IF(AND(MONTH(C1250)&gt;=4,MONTH(C1250)&lt;=6),2,IF(AND(MONTH(C1250)&gt;=7,MONTH(C1250)&lt;=9),3,4))))</f>
        <v>1</v>
      </c>
      <c r="D1251" s="83"/>
      <c r="E1251" s="62" t="s">
        <v>2417</v>
      </c>
      <c r="F1251" s="61"/>
      <c r="G1251" s="5"/>
      <c r="H1251" s="5"/>
      <c r="I1251" s="5"/>
      <c r="J1251" s="5"/>
    </row>
    <row r="1252" spans="1:10" ht="14.1" customHeight="1" thickBot="1" x14ac:dyDescent="0.25">
      <c r="A1252" s="83"/>
      <c r="B1252" s="62" t="s">
        <v>12942</v>
      </c>
      <c r="C1252" s="71">
        <v>43921</v>
      </c>
      <c r="D1252" s="83"/>
      <c r="E1252" s="62" t="s">
        <v>3073</v>
      </c>
      <c r="F1252" s="61"/>
      <c r="G1252" s="5"/>
      <c r="H1252" s="5"/>
      <c r="I1252" s="5"/>
      <c r="J1252" s="5"/>
    </row>
    <row r="1253" spans="1:10" ht="14.1" customHeight="1" thickBot="1" x14ac:dyDescent="0.25">
      <c r="A1253" s="83"/>
      <c r="B1253" s="62" t="s">
        <v>1786</v>
      </c>
      <c r="C1253" s="60">
        <f>IF(C1252="","",IF(AND(MONTH(C1252)&gt;=1,MONTH(C1252)&lt;=3),1,IF(AND(MONTH(C1252)&gt;=4,MONTH(C1252)&lt;=6),2,IF(AND(MONTH(C1252)&gt;=7,MONTH(C1252)&lt;=9),3,4))))</f>
        <v>1</v>
      </c>
      <c r="D1253" s="83"/>
      <c r="E1253" s="62" t="s">
        <v>13192</v>
      </c>
      <c r="F1253" s="61"/>
      <c r="G1253" s="5"/>
      <c r="H1253" s="5"/>
      <c r="I1253" s="5"/>
      <c r="J1253" s="5"/>
    </row>
    <row r="1254" spans="1:10" ht="14.1" customHeight="1" thickBot="1" x14ac:dyDescent="0.25">
      <c r="A1254" s="5"/>
      <c r="B1254" s="5"/>
      <c r="C1254" s="5"/>
      <c r="D1254" s="5"/>
      <c r="E1254" s="5"/>
      <c r="F1254" s="5"/>
      <c r="G1254" s="5"/>
      <c r="H1254" s="5"/>
      <c r="I1254" s="5"/>
      <c r="J1254" s="5"/>
    </row>
    <row r="1255" spans="1:10" ht="14.1" customHeight="1" thickBot="1" x14ac:dyDescent="0.25">
      <c r="A1255" s="67" t="s">
        <v>15735</v>
      </c>
      <c r="B1255" s="67" t="s">
        <v>16146</v>
      </c>
      <c r="C1255" s="67" t="s">
        <v>15641</v>
      </c>
      <c r="D1255" s="67" t="s">
        <v>15251</v>
      </c>
      <c r="E1255" s="67" t="s">
        <v>6932</v>
      </c>
      <c r="F1255" s="67" t="s">
        <v>15280</v>
      </c>
      <c r="G1255" s="5"/>
      <c r="H1255" s="5"/>
      <c r="I1255" s="5"/>
      <c r="J1255" s="5"/>
    </row>
    <row r="1256" spans="1:10" ht="13.5" customHeight="1" x14ac:dyDescent="0.2">
      <c r="A1256" s="78">
        <v>25172907</v>
      </c>
      <c r="B1256" s="64" t="str">
        <f ca="1">IFERROR(INDEX(UNSPSCDes,MATCH(INDIRECT(ADDRESS(ROW(),COLUMN()-1,4)),UNSPSCCode,0)),"")</f>
        <v>Luz frontal del vehículo</v>
      </c>
      <c r="C1256" s="63" t="s">
        <v>1449</v>
      </c>
      <c r="D1256" s="63">
        <v>1</v>
      </c>
      <c r="E1256" s="66">
        <v>5000</v>
      </c>
      <c r="F1256" s="65">
        <f ca="1">INDIRECT(ADDRESS(ROW(),COLUMN()-2,4))*INDIRECT(ADDRESS(ROW(),COLUMN()-1,4))</f>
        <v>5000</v>
      </c>
      <c r="G1256" s="5"/>
      <c r="H1256" s="5"/>
      <c r="I1256" s="5"/>
      <c r="J1256" s="5"/>
    </row>
    <row r="1257" spans="1:10" ht="13.5" customHeight="1" x14ac:dyDescent="0.2">
      <c r="A1257" s="78">
        <v>25172604</v>
      </c>
      <c r="B1257" s="64" t="str">
        <f ca="1">IFERROR(INDEX(UNSPSCDes,MATCH(INDIRECT(ADDRESS(ROW(),COLUMN()-1,4)),UNSPSCCode,0)),"")</f>
        <v>Espejos retrovisores</v>
      </c>
      <c r="C1257" s="63" t="s">
        <v>1449</v>
      </c>
      <c r="D1257" s="63">
        <v>2</v>
      </c>
      <c r="E1257" s="66">
        <v>3000</v>
      </c>
      <c r="F1257" s="65">
        <f ca="1">INDIRECT(ADDRESS(ROW(),COLUMN()-2,4))*INDIRECT(ADDRESS(ROW(),COLUMN()-1,4))</f>
        <v>6000</v>
      </c>
      <c r="G1257" s="5"/>
      <c r="H1257" s="5"/>
      <c r="I1257" s="5"/>
      <c r="J1257" s="5"/>
    </row>
    <row r="1258" spans="1:10" ht="13.5" customHeight="1" x14ac:dyDescent="0.2">
      <c r="A1258" s="78">
        <v>26111703</v>
      </c>
      <c r="B1258" s="64" t="str">
        <f ca="1">IFERROR(INDEX(UNSPSCDes,MATCH(INDIRECT(ADDRESS(ROW(),COLUMN()-1,4)),UNSPSCCode,0)),"")</f>
        <v>Baterías para vehículos</v>
      </c>
      <c r="C1258" s="63" t="s">
        <v>1449</v>
      </c>
      <c r="D1258" s="63">
        <v>1</v>
      </c>
      <c r="E1258" s="66">
        <v>6000</v>
      </c>
      <c r="F1258" s="65">
        <f ca="1">INDIRECT(ADDRESS(ROW(),COLUMN()-2,4))*INDIRECT(ADDRESS(ROW(),COLUMN()-1,4))</f>
        <v>6000</v>
      </c>
      <c r="G1258" s="5"/>
      <c r="H1258" s="5"/>
      <c r="I1258" s="5"/>
      <c r="J1258" s="5"/>
    </row>
    <row r="1259" spans="1:10" ht="13.5" customHeight="1" x14ac:dyDescent="0.2">
      <c r="A1259" s="78">
        <v>25171502</v>
      </c>
      <c r="B1259" s="64" t="str">
        <f ca="1">IFERROR(INDEX(UNSPSCDes,MATCH(INDIRECT(ADDRESS(ROW(),COLUMN()-1,4)),UNSPSCCode,0)),"")</f>
        <v>limpiaparabrisas para automóviles</v>
      </c>
      <c r="C1259" s="63" t="s">
        <v>1449</v>
      </c>
      <c r="D1259" s="63">
        <v>3</v>
      </c>
      <c r="E1259" s="66">
        <v>1000</v>
      </c>
      <c r="F1259" s="65">
        <f ca="1">INDIRECT(ADDRESS(ROW(),COLUMN()-2,4))*INDIRECT(ADDRESS(ROW(),COLUMN()-1,4))</f>
        <v>3000</v>
      </c>
      <c r="G1259" s="5"/>
      <c r="H1259" s="5"/>
      <c r="I1259" s="5"/>
      <c r="J1259" s="5"/>
    </row>
    <row r="1260" spans="1:10" ht="14.1" customHeight="1" x14ac:dyDescent="0.2">
      <c r="A1260" s="5"/>
      <c r="B1260" s="5"/>
      <c r="C1260" s="5"/>
      <c r="D1260" s="5"/>
      <c r="E1260" s="68" t="s">
        <v>12550</v>
      </c>
      <c r="F1260" s="69">
        <f ca="1">SUM(Table372[MONTO TOTAL ESTIMADO])</f>
        <v>20000</v>
      </c>
      <c r="G1260" s="5"/>
      <c r="H1260" s="5" t="str">
        <f>C1249</f>
        <v>Bienes</v>
      </c>
      <c r="I1260" s="5" t="str">
        <f>E1249</f>
        <v>Sí</v>
      </c>
      <c r="J1260" s="5" t="str">
        <f>D1249</f>
        <v>Compras por debajo del Umbral</v>
      </c>
    </row>
    <row r="1261" spans="1:10" ht="14.1" customHeight="1" thickBot="1" x14ac:dyDescent="0.3"/>
    <row r="1262" spans="1:10" ht="33.75" customHeight="1" thickBot="1" x14ac:dyDescent="0.25">
      <c r="A1262" s="59" t="s">
        <v>16382</v>
      </c>
      <c r="B1262" s="59" t="s">
        <v>161</v>
      </c>
      <c r="C1262" s="59" t="s">
        <v>11724</v>
      </c>
      <c r="D1262" s="59" t="s">
        <v>14378</v>
      </c>
      <c r="E1262" s="59" t="s">
        <v>10962</v>
      </c>
      <c r="F1262" s="59" t="s">
        <v>11095</v>
      </c>
      <c r="G1262" s="5"/>
      <c r="H1262" s="5"/>
      <c r="I1262" s="5"/>
      <c r="J1262" s="5"/>
    </row>
    <row r="1263" spans="1:10" ht="13.5" customHeight="1" thickBot="1" x14ac:dyDescent="0.25">
      <c r="A1263" s="77" t="s">
        <v>18871</v>
      </c>
      <c r="B1263" s="77" t="s">
        <v>18870</v>
      </c>
      <c r="C1263" s="61" t="s">
        <v>17797</v>
      </c>
      <c r="D1263" s="61" t="s">
        <v>10171</v>
      </c>
      <c r="E1263" s="61" t="s">
        <v>8854</v>
      </c>
      <c r="F1263" s="61"/>
      <c r="G1263" s="5"/>
      <c r="H1263" s="5"/>
      <c r="I1263" s="5"/>
      <c r="J1263" s="5"/>
    </row>
    <row r="1264" spans="1:10" ht="14.1" customHeight="1" thickBot="1" x14ac:dyDescent="0.25">
      <c r="A1264" s="82" t="s">
        <v>14828</v>
      </c>
      <c r="B1264" s="62" t="s">
        <v>8528</v>
      </c>
      <c r="C1264" s="71">
        <v>43922</v>
      </c>
      <c r="D1264" s="82" t="s">
        <v>9385</v>
      </c>
      <c r="E1264" s="62" t="s">
        <v>13093</v>
      </c>
      <c r="F1264" s="61" t="s">
        <v>3080</v>
      </c>
      <c r="G1264" s="5"/>
      <c r="H1264" s="5"/>
      <c r="I1264" s="5"/>
      <c r="J1264" s="5"/>
    </row>
    <row r="1265" spans="1:10" ht="14.1" customHeight="1" thickBot="1" x14ac:dyDescent="0.25">
      <c r="A1265" s="83"/>
      <c r="B1265" s="62" t="s">
        <v>1786</v>
      </c>
      <c r="C1265" s="60">
        <f>IF(C1264="","",IF(AND(MONTH(C1264)&gt;=1,MONTH(C1264)&lt;=3),1,IF(AND(MONTH(C1264)&gt;=4,MONTH(C1264)&lt;=6),2,IF(AND(MONTH(C1264)&gt;=7,MONTH(C1264)&lt;=9),3,4))))</f>
        <v>2</v>
      </c>
      <c r="D1265" s="83"/>
      <c r="E1265" s="62" t="s">
        <v>2417</v>
      </c>
      <c r="F1265" s="61" t="s">
        <v>11112</v>
      </c>
      <c r="G1265" s="5"/>
      <c r="H1265" s="5"/>
      <c r="I1265" s="5"/>
      <c r="J1265" s="5"/>
    </row>
    <row r="1266" spans="1:10" ht="14.1" customHeight="1" thickBot="1" x14ac:dyDescent="0.25">
      <c r="A1266" s="83"/>
      <c r="B1266" s="62" t="s">
        <v>12942</v>
      </c>
      <c r="C1266" s="71">
        <v>44012</v>
      </c>
      <c r="D1266" s="83"/>
      <c r="E1266" s="62" t="s">
        <v>3073</v>
      </c>
      <c r="F1266" s="61" t="s">
        <v>11112</v>
      </c>
      <c r="G1266" s="5"/>
      <c r="H1266" s="5"/>
      <c r="I1266" s="5"/>
      <c r="J1266" s="5"/>
    </row>
    <row r="1267" spans="1:10" ht="14.1" customHeight="1" thickBot="1" x14ac:dyDescent="0.25">
      <c r="A1267" s="83"/>
      <c r="B1267" s="62" t="s">
        <v>1786</v>
      </c>
      <c r="C1267" s="60">
        <f>IF(C1266="","",IF(AND(MONTH(C1266)&gt;=1,MONTH(C1266)&lt;=3),1,IF(AND(MONTH(C1266)&gt;=4,MONTH(C1266)&lt;=6),2,IF(AND(MONTH(C1266)&gt;=7,MONTH(C1266)&lt;=9),3,4))))</f>
        <v>2</v>
      </c>
      <c r="D1267" s="83"/>
      <c r="E1267" s="62" t="s">
        <v>13192</v>
      </c>
      <c r="F1267" s="61" t="s">
        <v>11112</v>
      </c>
      <c r="G1267" s="5"/>
      <c r="H1267" s="5"/>
      <c r="I1267" s="5"/>
      <c r="J1267" s="5"/>
    </row>
    <row r="1268" spans="1:10" ht="14.1" customHeight="1" thickBot="1" x14ac:dyDescent="0.25">
      <c r="A1268" s="5"/>
      <c r="B1268" s="5"/>
      <c r="C1268" s="5"/>
      <c r="D1268" s="5"/>
      <c r="E1268" s="5"/>
      <c r="F1268" s="5"/>
      <c r="G1268" s="5"/>
      <c r="H1268" s="5"/>
      <c r="I1268" s="5"/>
      <c r="J1268" s="5"/>
    </row>
    <row r="1269" spans="1:10" ht="14.1" customHeight="1" thickBot="1" x14ac:dyDescent="0.25">
      <c r="A1269" s="67" t="s">
        <v>15735</v>
      </c>
      <c r="B1269" s="67" t="s">
        <v>16146</v>
      </c>
      <c r="C1269" s="67" t="s">
        <v>15641</v>
      </c>
      <c r="D1269" s="67" t="s">
        <v>15251</v>
      </c>
      <c r="E1269" s="67" t="s">
        <v>6932</v>
      </c>
      <c r="F1269" s="67" t="s">
        <v>15280</v>
      </c>
      <c r="G1269" s="5"/>
      <c r="H1269" s="5"/>
      <c r="I1269" s="5"/>
      <c r="J1269" s="5"/>
    </row>
    <row r="1270" spans="1:10" ht="13.5" customHeight="1" x14ac:dyDescent="0.2">
      <c r="A1270" s="78">
        <v>25172907</v>
      </c>
      <c r="B1270" s="64" t="str">
        <f ca="1">IFERROR(INDEX(UNSPSCDes,MATCH(INDIRECT(ADDRESS(ROW(),COLUMN()-1,4)),UNSPSCCode,0)),"")</f>
        <v>Luz frontal del vehículo</v>
      </c>
      <c r="C1270" s="63" t="s">
        <v>1449</v>
      </c>
      <c r="D1270" s="63">
        <v>2</v>
      </c>
      <c r="E1270" s="66">
        <v>5000</v>
      </c>
      <c r="F1270" s="65">
        <f ca="1">INDIRECT(ADDRESS(ROW(),COLUMN()-2,4))*INDIRECT(ADDRESS(ROW(),COLUMN()-1,4))</f>
        <v>10000</v>
      </c>
      <c r="G1270" s="5"/>
      <c r="H1270" s="5"/>
      <c r="I1270" s="5"/>
      <c r="J1270" s="5"/>
    </row>
    <row r="1271" spans="1:10" ht="13.5" customHeight="1" x14ac:dyDescent="0.2">
      <c r="A1271" s="78">
        <v>25171502</v>
      </c>
      <c r="B1271" s="64" t="str">
        <f ca="1">IFERROR(INDEX(UNSPSCDes,MATCH(INDIRECT(ADDRESS(ROW(),COLUMN()-1,4)),UNSPSCCode,0)),"")</f>
        <v>limpiaparabrisas para automóviles</v>
      </c>
      <c r="C1271" s="63" t="s">
        <v>1449</v>
      </c>
      <c r="D1271" s="63">
        <v>4</v>
      </c>
      <c r="E1271" s="66">
        <v>1000</v>
      </c>
      <c r="F1271" s="65">
        <f ca="1">INDIRECT(ADDRESS(ROW(),COLUMN()-2,4))*INDIRECT(ADDRESS(ROW(),COLUMN()-1,4))</f>
        <v>4000</v>
      </c>
      <c r="G1271" s="5"/>
      <c r="H1271" s="5"/>
      <c r="I1271" s="5"/>
      <c r="J1271" s="5"/>
    </row>
    <row r="1272" spans="1:10" ht="13.5" customHeight="1" x14ac:dyDescent="0.2">
      <c r="A1272" s="78">
        <v>26111703</v>
      </c>
      <c r="B1272" s="64" t="str">
        <f ca="1">IFERROR(INDEX(UNSPSCDes,MATCH(INDIRECT(ADDRESS(ROW(),COLUMN()-1,4)),UNSPSCCode,0)),"")</f>
        <v>Baterías para vehículos</v>
      </c>
      <c r="C1272" s="63" t="s">
        <v>1449</v>
      </c>
      <c r="D1272" s="63">
        <v>1</v>
      </c>
      <c r="E1272" s="66">
        <v>6000</v>
      </c>
      <c r="F1272" s="65">
        <f ca="1">INDIRECT(ADDRESS(ROW(),COLUMN()-2,4))*INDIRECT(ADDRESS(ROW(),COLUMN()-1,4))</f>
        <v>6000</v>
      </c>
      <c r="G1272" s="5"/>
      <c r="H1272" s="5"/>
      <c r="I1272" s="5"/>
      <c r="J1272" s="5"/>
    </row>
    <row r="1273" spans="1:10" ht="14.1" customHeight="1" x14ac:dyDescent="0.2">
      <c r="A1273" s="5"/>
      <c r="B1273" s="5"/>
      <c r="C1273" s="5"/>
      <c r="D1273" s="5"/>
      <c r="E1273" s="68" t="s">
        <v>12550</v>
      </c>
      <c r="F1273" s="69">
        <f ca="1">SUM(Table373[MONTO TOTAL ESTIMADO])</f>
        <v>20000</v>
      </c>
      <c r="G1273" s="5"/>
      <c r="H1273" s="5" t="str">
        <f>C1263</f>
        <v>Bienes</v>
      </c>
      <c r="I1273" s="5" t="str">
        <f>E1263</f>
        <v>Sí</v>
      </c>
      <c r="J1273" s="5" t="str">
        <f>D1263</f>
        <v>Compras por debajo del Umbral</v>
      </c>
    </row>
    <row r="1274" spans="1:10" ht="14.1" customHeight="1" thickBot="1" x14ac:dyDescent="0.3"/>
    <row r="1275" spans="1:10" ht="33.75" customHeight="1" thickBot="1" x14ac:dyDescent="0.25">
      <c r="A1275" s="59" t="s">
        <v>16382</v>
      </c>
      <c r="B1275" s="59" t="s">
        <v>161</v>
      </c>
      <c r="C1275" s="59" t="s">
        <v>11724</v>
      </c>
      <c r="D1275" s="59" t="s">
        <v>14378</v>
      </c>
      <c r="E1275" s="59" t="s">
        <v>10962</v>
      </c>
      <c r="F1275" s="59" t="s">
        <v>11095</v>
      </c>
      <c r="G1275" s="5"/>
      <c r="H1275" s="5"/>
      <c r="I1275" s="5"/>
      <c r="J1275" s="5"/>
    </row>
    <row r="1276" spans="1:10" ht="13.5" customHeight="1" thickBot="1" x14ac:dyDescent="0.25">
      <c r="A1276" s="77" t="s">
        <v>18871</v>
      </c>
      <c r="B1276" s="77" t="s">
        <v>18870</v>
      </c>
      <c r="C1276" s="61" t="s">
        <v>17797</v>
      </c>
      <c r="D1276" s="61" t="s">
        <v>10171</v>
      </c>
      <c r="E1276" s="61" t="s">
        <v>8854</v>
      </c>
      <c r="F1276" s="61"/>
      <c r="G1276" s="5"/>
      <c r="H1276" s="5"/>
      <c r="I1276" s="5"/>
      <c r="J1276" s="5"/>
    </row>
    <row r="1277" spans="1:10" ht="14.1" customHeight="1" thickBot="1" x14ac:dyDescent="0.25">
      <c r="A1277" s="82" t="s">
        <v>14828</v>
      </c>
      <c r="B1277" s="62" t="s">
        <v>8528</v>
      </c>
      <c r="C1277" s="71">
        <v>44013</v>
      </c>
      <c r="D1277" s="82" t="s">
        <v>9385</v>
      </c>
      <c r="E1277" s="62" t="s">
        <v>13093</v>
      </c>
      <c r="F1277" s="61" t="s">
        <v>3080</v>
      </c>
      <c r="G1277" s="5"/>
      <c r="H1277" s="5"/>
      <c r="I1277" s="5"/>
      <c r="J1277" s="5"/>
    </row>
    <row r="1278" spans="1:10" ht="14.1" customHeight="1" thickBot="1" x14ac:dyDescent="0.25">
      <c r="A1278" s="83"/>
      <c r="B1278" s="62" t="s">
        <v>1786</v>
      </c>
      <c r="C1278" s="60">
        <f>IF(C1277="","",IF(AND(MONTH(C1277)&gt;=1,MONTH(C1277)&lt;=3),1,IF(AND(MONTH(C1277)&gt;=4,MONTH(C1277)&lt;=6),2,IF(AND(MONTH(C1277)&gt;=7,MONTH(C1277)&lt;=9),3,4))))</f>
        <v>3</v>
      </c>
      <c r="D1278" s="83"/>
      <c r="E1278" s="62" t="s">
        <v>2417</v>
      </c>
      <c r="F1278" s="61" t="s">
        <v>11112</v>
      </c>
      <c r="G1278" s="5"/>
      <c r="H1278" s="5"/>
      <c r="I1278" s="5"/>
      <c r="J1278" s="5"/>
    </row>
    <row r="1279" spans="1:10" ht="14.1" customHeight="1" thickBot="1" x14ac:dyDescent="0.25">
      <c r="A1279" s="83"/>
      <c r="B1279" s="62" t="s">
        <v>12942</v>
      </c>
      <c r="C1279" s="71">
        <v>44104</v>
      </c>
      <c r="D1279" s="83"/>
      <c r="E1279" s="62" t="s">
        <v>3073</v>
      </c>
      <c r="F1279" s="61" t="s">
        <v>11112</v>
      </c>
      <c r="G1279" s="5"/>
      <c r="H1279" s="5"/>
      <c r="I1279" s="5"/>
      <c r="J1279" s="5"/>
    </row>
    <row r="1280" spans="1:10" ht="14.1" customHeight="1" thickBot="1" x14ac:dyDescent="0.25">
      <c r="A1280" s="83"/>
      <c r="B1280" s="62" t="s">
        <v>1786</v>
      </c>
      <c r="C1280" s="60">
        <f>IF(C1279="","",IF(AND(MONTH(C1279)&gt;=1,MONTH(C1279)&lt;=3),1,IF(AND(MONTH(C1279)&gt;=4,MONTH(C1279)&lt;=6),2,IF(AND(MONTH(C1279)&gt;=7,MONTH(C1279)&lt;=9),3,4))))</f>
        <v>3</v>
      </c>
      <c r="D1280" s="83"/>
      <c r="E1280" s="62" t="s">
        <v>13192</v>
      </c>
      <c r="F1280" s="61" t="s">
        <v>11112</v>
      </c>
      <c r="G1280" s="5"/>
      <c r="H1280" s="5"/>
      <c r="I1280" s="5"/>
      <c r="J1280" s="5"/>
    </row>
    <row r="1281" spans="1:10" ht="14.1" customHeight="1" thickBot="1" x14ac:dyDescent="0.25">
      <c r="A1281" s="5"/>
      <c r="B1281" s="5"/>
      <c r="C1281" s="5"/>
      <c r="D1281" s="5"/>
      <c r="E1281" s="5"/>
      <c r="F1281" s="5"/>
      <c r="G1281" s="5"/>
      <c r="H1281" s="5"/>
      <c r="I1281" s="5"/>
      <c r="J1281" s="5"/>
    </row>
    <row r="1282" spans="1:10" ht="14.1" customHeight="1" thickBot="1" x14ac:dyDescent="0.25">
      <c r="A1282" s="67" t="s">
        <v>15735</v>
      </c>
      <c r="B1282" s="67" t="s">
        <v>16146</v>
      </c>
      <c r="C1282" s="67" t="s">
        <v>15641</v>
      </c>
      <c r="D1282" s="67" t="s">
        <v>15251</v>
      </c>
      <c r="E1282" s="67" t="s">
        <v>6932</v>
      </c>
      <c r="F1282" s="67" t="s">
        <v>15280</v>
      </c>
      <c r="G1282" s="5"/>
      <c r="H1282" s="5"/>
      <c r="I1282" s="5"/>
      <c r="J1282" s="5"/>
    </row>
    <row r="1283" spans="1:10" ht="13.5" customHeight="1" x14ac:dyDescent="0.2">
      <c r="A1283" s="78">
        <v>25172604</v>
      </c>
      <c r="B1283" s="64" t="str">
        <f ca="1">IFERROR(INDEX(UNSPSCDes,MATCH(INDIRECT(ADDRESS(ROW(),COLUMN()-1,4)),UNSPSCCode,0)),"")</f>
        <v>Espejos retrovisores</v>
      </c>
      <c r="C1283" s="63" t="s">
        <v>1449</v>
      </c>
      <c r="D1283" s="63">
        <v>2</v>
      </c>
      <c r="E1283" s="66">
        <v>3000</v>
      </c>
      <c r="F1283" s="65">
        <f ca="1">INDIRECT(ADDRESS(ROW(),COLUMN()-2,4))*INDIRECT(ADDRESS(ROW(),COLUMN()-1,4))</f>
        <v>6000</v>
      </c>
      <c r="G1283" s="5"/>
      <c r="H1283" s="5"/>
      <c r="I1283" s="5"/>
      <c r="J1283" s="5"/>
    </row>
    <row r="1284" spans="1:10" ht="13.5" customHeight="1" x14ac:dyDescent="0.2">
      <c r="A1284" s="78">
        <v>25172907</v>
      </c>
      <c r="B1284" s="64" t="str">
        <f ca="1">IFERROR(INDEX(UNSPSCDes,MATCH(INDIRECT(ADDRESS(ROW(),COLUMN()-1,4)),UNSPSCCode,0)),"")</f>
        <v>Luz frontal del vehículo</v>
      </c>
      <c r="C1284" s="63" t="s">
        <v>1449</v>
      </c>
      <c r="D1284" s="63">
        <v>1</v>
      </c>
      <c r="E1284" s="66">
        <v>5000</v>
      </c>
      <c r="F1284" s="65">
        <f ca="1">INDIRECT(ADDRESS(ROW(),COLUMN()-2,4))*INDIRECT(ADDRESS(ROW(),COLUMN()-1,4))</f>
        <v>5000</v>
      </c>
      <c r="G1284" s="5"/>
      <c r="H1284" s="5"/>
      <c r="I1284" s="5"/>
      <c r="J1284" s="5"/>
    </row>
    <row r="1285" spans="1:10" ht="13.5" customHeight="1" x14ac:dyDescent="0.2">
      <c r="A1285" s="78">
        <v>25171502</v>
      </c>
      <c r="B1285" s="64" t="str">
        <f ca="1">IFERROR(INDEX(UNSPSCDes,MATCH(INDIRECT(ADDRESS(ROW(),COLUMN()-1,4)),UNSPSCCode,0)),"")</f>
        <v>limpiaparabrisas para automóviles</v>
      </c>
      <c r="C1285" s="63" t="s">
        <v>1449</v>
      </c>
      <c r="D1285" s="63">
        <v>3</v>
      </c>
      <c r="E1285" s="66">
        <v>1000</v>
      </c>
      <c r="F1285" s="65">
        <f ca="1">INDIRECT(ADDRESS(ROW(),COLUMN()-2,4))*INDIRECT(ADDRESS(ROW(),COLUMN()-1,4))</f>
        <v>3000</v>
      </c>
      <c r="G1285" s="5"/>
      <c r="H1285" s="5"/>
      <c r="I1285" s="5"/>
      <c r="J1285" s="5"/>
    </row>
    <row r="1286" spans="1:10" ht="13.5" customHeight="1" x14ac:dyDescent="0.2">
      <c r="A1286" s="78">
        <v>26111703</v>
      </c>
      <c r="B1286" s="64" t="str">
        <f ca="1">IFERROR(INDEX(UNSPSCDes,MATCH(INDIRECT(ADDRESS(ROW(),COLUMN()-1,4)),UNSPSCCode,0)),"")</f>
        <v>Baterías para vehículos</v>
      </c>
      <c r="C1286" s="63" t="s">
        <v>1449</v>
      </c>
      <c r="D1286" s="63">
        <v>1</v>
      </c>
      <c r="E1286" s="66">
        <v>6000</v>
      </c>
      <c r="F1286" s="65">
        <f ca="1">INDIRECT(ADDRESS(ROW(),COLUMN()-2,4))*INDIRECT(ADDRESS(ROW(),COLUMN()-1,4))</f>
        <v>6000</v>
      </c>
      <c r="G1286" s="5"/>
      <c r="H1286" s="5"/>
      <c r="I1286" s="5"/>
      <c r="J1286" s="5"/>
    </row>
    <row r="1287" spans="1:10" ht="14.1" customHeight="1" x14ac:dyDescent="0.2">
      <c r="A1287" s="5"/>
      <c r="B1287" s="5"/>
      <c r="C1287" s="5"/>
      <c r="D1287" s="5"/>
      <c r="E1287" s="68" t="s">
        <v>12550</v>
      </c>
      <c r="F1287" s="69">
        <f ca="1">SUM(Table374[MONTO TOTAL ESTIMADO])</f>
        <v>20000</v>
      </c>
      <c r="G1287" s="5"/>
      <c r="H1287" s="5" t="str">
        <f>C1276</f>
        <v>Bienes</v>
      </c>
      <c r="I1287" s="5" t="str">
        <f>E1276</f>
        <v>Sí</v>
      </c>
      <c r="J1287" s="5" t="str">
        <f>D1276</f>
        <v>Compras por debajo del Umbral</v>
      </c>
    </row>
    <row r="1288" spans="1:10" ht="14.1" customHeight="1" thickBot="1" x14ac:dyDescent="0.3"/>
    <row r="1289" spans="1:10" ht="33.75" customHeight="1" thickBot="1" x14ac:dyDescent="0.25">
      <c r="A1289" s="59" t="s">
        <v>16382</v>
      </c>
      <c r="B1289" s="59" t="s">
        <v>161</v>
      </c>
      <c r="C1289" s="59" t="s">
        <v>11724</v>
      </c>
      <c r="D1289" s="59" t="s">
        <v>14378</v>
      </c>
      <c r="E1289" s="59" t="s">
        <v>10962</v>
      </c>
      <c r="F1289" s="59" t="s">
        <v>11095</v>
      </c>
      <c r="G1289" s="5"/>
      <c r="H1289" s="5"/>
      <c r="I1289" s="5"/>
      <c r="J1289" s="5"/>
    </row>
    <row r="1290" spans="1:10" ht="13.5" customHeight="1" thickBot="1" x14ac:dyDescent="0.25">
      <c r="A1290" s="77" t="s">
        <v>18871</v>
      </c>
      <c r="B1290" s="77" t="s">
        <v>18872</v>
      </c>
      <c r="C1290" s="61" t="s">
        <v>17797</v>
      </c>
      <c r="D1290" s="61" t="s">
        <v>10171</v>
      </c>
      <c r="E1290" s="61" t="s">
        <v>8854</v>
      </c>
      <c r="F1290" s="61"/>
      <c r="G1290" s="5"/>
      <c r="H1290" s="5"/>
      <c r="I1290" s="5"/>
      <c r="J1290" s="5"/>
    </row>
    <row r="1291" spans="1:10" ht="14.1" customHeight="1" thickBot="1" x14ac:dyDescent="0.25">
      <c r="A1291" s="82" t="s">
        <v>14828</v>
      </c>
      <c r="B1291" s="62" t="s">
        <v>8528</v>
      </c>
      <c r="C1291" s="71">
        <v>44105</v>
      </c>
      <c r="D1291" s="82" t="s">
        <v>9385</v>
      </c>
      <c r="E1291" s="62" t="s">
        <v>13093</v>
      </c>
      <c r="F1291" s="61" t="s">
        <v>3080</v>
      </c>
      <c r="G1291" s="5"/>
      <c r="H1291" s="5"/>
      <c r="I1291" s="5"/>
      <c r="J1291" s="5"/>
    </row>
    <row r="1292" spans="1:10" ht="14.1" customHeight="1" thickBot="1" x14ac:dyDescent="0.25">
      <c r="A1292" s="83"/>
      <c r="B1292" s="62" t="s">
        <v>1786</v>
      </c>
      <c r="C1292" s="60">
        <f>IF(C1291="","",IF(AND(MONTH(C1291)&gt;=1,MONTH(C1291)&lt;=3),1,IF(AND(MONTH(C1291)&gt;=4,MONTH(C1291)&lt;=6),2,IF(AND(MONTH(C1291)&gt;=7,MONTH(C1291)&lt;=9),3,4))))</f>
        <v>4</v>
      </c>
      <c r="D1292" s="83"/>
      <c r="E1292" s="62" t="s">
        <v>2417</v>
      </c>
      <c r="F1292" s="61" t="s">
        <v>11112</v>
      </c>
      <c r="G1292" s="5"/>
      <c r="H1292" s="5"/>
      <c r="I1292" s="5"/>
      <c r="J1292" s="5"/>
    </row>
    <row r="1293" spans="1:10" ht="14.1" customHeight="1" thickBot="1" x14ac:dyDescent="0.25">
      <c r="A1293" s="83"/>
      <c r="B1293" s="62" t="s">
        <v>12942</v>
      </c>
      <c r="C1293" s="71">
        <v>44196</v>
      </c>
      <c r="D1293" s="83"/>
      <c r="E1293" s="62" t="s">
        <v>3073</v>
      </c>
      <c r="F1293" s="61" t="s">
        <v>11112</v>
      </c>
      <c r="G1293" s="5"/>
      <c r="H1293" s="5"/>
      <c r="I1293" s="5"/>
      <c r="J1293" s="5"/>
    </row>
    <row r="1294" spans="1:10" ht="14.1" customHeight="1" thickBot="1" x14ac:dyDescent="0.25">
      <c r="A1294" s="83"/>
      <c r="B1294" s="62" t="s">
        <v>1786</v>
      </c>
      <c r="C1294" s="60">
        <f>IF(C1293="","",IF(AND(MONTH(C1293)&gt;=1,MONTH(C1293)&lt;=3),1,IF(AND(MONTH(C1293)&gt;=4,MONTH(C1293)&lt;=6),2,IF(AND(MONTH(C1293)&gt;=7,MONTH(C1293)&lt;=9),3,4))))</f>
        <v>4</v>
      </c>
      <c r="D1294" s="83"/>
      <c r="E1294" s="62" t="s">
        <v>13192</v>
      </c>
      <c r="F1294" s="61" t="s">
        <v>11112</v>
      </c>
      <c r="G1294" s="5"/>
      <c r="H1294" s="5"/>
      <c r="I1294" s="5"/>
      <c r="J1294" s="5"/>
    </row>
    <row r="1295" spans="1:10" ht="14.1" customHeight="1" thickBot="1" x14ac:dyDescent="0.25">
      <c r="A1295" s="5"/>
      <c r="B1295" s="5"/>
      <c r="C1295" s="5"/>
      <c r="D1295" s="5"/>
      <c r="E1295" s="5"/>
      <c r="F1295" s="5"/>
      <c r="G1295" s="5"/>
      <c r="H1295" s="5"/>
      <c r="I1295" s="5"/>
      <c r="J1295" s="5"/>
    </row>
    <row r="1296" spans="1:10" ht="14.1" customHeight="1" thickBot="1" x14ac:dyDescent="0.25">
      <c r="A1296" s="67" t="s">
        <v>15735</v>
      </c>
      <c r="B1296" s="67" t="s">
        <v>16146</v>
      </c>
      <c r="C1296" s="67" t="s">
        <v>15641</v>
      </c>
      <c r="D1296" s="67" t="s">
        <v>15251</v>
      </c>
      <c r="E1296" s="67" t="s">
        <v>6932</v>
      </c>
      <c r="F1296" s="67" t="s">
        <v>15280</v>
      </c>
      <c r="G1296" s="5"/>
      <c r="H1296" s="5"/>
      <c r="I1296" s="5"/>
      <c r="J1296" s="5"/>
    </row>
    <row r="1297" spans="1:10" ht="13.5" customHeight="1" x14ac:dyDescent="0.2">
      <c r="A1297" s="78">
        <v>25171502</v>
      </c>
      <c r="B1297" s="64" t="str">
        <f ca="1">IFERROR(INDEX(UNSPSCDes,MATCH(INDIRECT(ADDRESS(ROW(),COLUMN()-1,4)),UNSPSCCode,0)),"")</f>
        <v>limpiaparabrisas para automóviles</v>
      </c>
      <c r="C1297" s="63" t="s">
        <v>1449</v>
      </c>
      <c r="D1297" s="63">
        <v>2</v>
      </c>
      <c r="E1297" s="66">
        <v>1000</v>
      </c>
      <c r="F1297" s="65">
        <f ca="1">INDIRECT(ADDRESS(ROW(),COLUMN()-2,4))*INDIRECT(ADDRESS(ROW(),COLUMN()-1,4))</f>
        <v>2000</v>
      </c>
      <c r="G1297" s="5"/>
      <c r="H1297" s="5"/>
      <c r="I1297" s="5"/>
      <c r="J1297" s="5"/>
    </row>
    <row r="1298" spans="1:10" ht="13.5" customHeight="1" x14ac:dyDescent="0.2">
      <c r="A1298" s="78">
        <v>26111703</v>
      </c>
      <c r="B1298" s="64" t="str">
        <f ca="1">IFERROR(INDEX(UNSPSCDes,MATCH(INDIRECT(ADDRESS(ROW(),COLUMN()-1,4)),UNSPSCCode,0)),"")</f>
        <v>Baterías para vehículos</v>
      </c>
      <c r="C1298" s="63" t="s">
        <v>1449</v>
      </c>
      <c r="D1298" s="63">
        <v>3</v>
      </c>
      <c r="E1298" s="66">
        <v>6000</v>
      </c>
      <c r="F1298" s="65">
        <f ca="1">INDIRECT(ADDRESS(ROW(),COLUMN()-2,4))*INDIRECT(ADDRESS(ROW(),COLUMN()-1,4))</f>
        <v>18000</v>
      </c>
      <c r="G1298" s="5"/>
      <c r="H1298" s="5"/>
      <c r="I1298" s="5"/>
      <c r="J1298" s="5"/>
    </row>
    <row r="1299" spans="1:10" ht="14.1" customHeight="1" x14ac:dyDescent="0.2">
      <c r="A1299" s="5"/>
      <c r="B1299" s="5"/>
      <c r="C1299" s="5"/>
      <c r="D1299" s="5"/>
      <c r="E1299" s="68" t="s">
        <v>12550</v>
      </c>
      <c r="F1299" s="69">
        <f ca="1">SUM(Table375[MONTO TOTAL ESTIMADO])</f>
        <v>20000</v>
      </c>
      <c r="G1299" s="5"/>
      <c r="H1299" s="5" t="str">
        <f>C1290</f>
        <v>Bienes</v>
      </c>
      <c r="I1299" s="5" t="str">
        <f>E1290</f>
        <v>Sí</v>
      </c>
      <c r="J1299" s="5" t="str">
        <f>D1290</f>
        <v>Compras por debajo del Umbral</v>
      </c>
    </row>
    <row r="1300" spans="1:10" ht="14.1" customHeight="1" thickBot="1" x14ac:dyDescent="0.3"/>
    <row r="1301" spans="1:10" ht="33.75" customHeight="1" thickBot="1" x14ac:dyDescent="0.25">
      <c r="A1301" s="59" t="s">
        <v>16382</v>
      </c>
      <c r="B1301" s="59" t="s">
        <v>161</v>
      </c>
      <c r="C1301" s="59" t="s">
        <v>11724</v>
      </c>
      <c r="D1301" s="59" t="s">
        <v>14378</v>
      </c>
      <c r="E1301" s="59" t="s">
        <v>10962</v>
      </c>
      <c r="F1301" s="59" t="s">
        <v>11095</v>
      </c>
      <c r="G1301" s="5"/>
      <c r="H1301" s="5"/>
      <c r="I1301" s="5"/>
      <c r="J1301" s="5"/>
    </row>
    <row r="1302" spans="1:10" ht="13.5" customHeight="1" thickBot="1" x14ac:dyDescent="0.25">
      <c r="A1302" s="77" t="s">
        <v>18873</v>
      </c>
      <c r="B1302" s="77" t="s">
        <v>18873</v>
      </c>
      <c r="C1302" s="61" t="s">
        <v>17797</v>
      </c>
      <c r="D1302" s="61" t="s">
        <v>17482</v>
      </c>
      <c r="E1302" s="61" t="s">
        <v>17853</v>
      </c>
      <c r="F1302" s="61"/>
      <c r="G1302" s="5"/>
      <c r="H1302" s="5"/>
      <c r="I1302" s="5"/>
      <c r="J1302" s="5"/>
    </row>
    <row r="1303" spans="1:10" ht="14.1" customHeight="1" thickBot="1" x14ac:dyDescent="0.25">
      <c r="A1303" s="82" t="s">
        <v>14828</v>
      </c>
      <c r="B1303" s="62" t="s">
        <v>8528</v>
      </c>
      <c r="C1303" s="71">
        <v>43831</v>
      </c>
      <c r="D1303" s="82" t="s">
        <v>9385</v>
      </c>
      <c r="E1303" s="62" t="s">
        <v>13093</v>
      </c>
      <c r="F1303" s="61" t="s">
        <v>3080</v>
      </c>
      <c r="G1303" s="5"/>
      <c r="H1303" s="5"/>
      <c r="I1303" s="5"/>
      <c r="J1303" s="5"/>
    </row>
    <row r="1304" spans="1:10" ht="14.1" customHeight="1" thickBot="1" x14ac:dyDescent="0.25">
      <c r="A1304" s="83"/>
      <c r="B1304" s="62" t="s">
        <v>1786</v>
      </c>
      <c r="C1304" s="60">
        <f>IF(C1303="","",IF(AND(MONTH(C1303)&gt;=1,MONTH(C1303)&lt;=3),1,IF(AND(MONTH(C1303)&gt;=4,MONTH(C1303)&lt;=6),2,IF(AND(MONTH(C1303)&gt;=7,MONTH(C1303)&lt;=9),3,4))))</f>
        <v>1</v>
      </c>
      <c r="D1304" s="83"/>
      <c r="E1304" s="62" t="s">
        <v>2417</v>
      </c>
      <c r="F1304" s="61" t="s">
        <v>11112</v>
      </c>
      <c r="G1304" s="5"/>
      <c r="H1304" s="5"/>
      <c r="I1304" s="5"/>
      <c r="J1304" s="5"/>
    </row>
    <row r="1305" spans="1:10" ht="14.1" customHeight="1" thickBot="1" x14ac:dyDescent="0.25">
      <c r="A1305" s="83"/>
      <c r="B1305" s="62" t="s">
        <v>12942</v>
      </c>
      <c r="C1305" s="71">
        <v>43921</v>
      </c>
      <c r="D1305" s="83"/>
      <c r="E1305" s="62" t="s">
        <v>3073</v>
      </c>
      <c r="F1305" s="61" t="s">
        <v>11112</v>
      </c>
      <c r="G1305" s="5"/>
      <c r="H1305" s="5"/>
      <c r="I1305" s="5"/>
      <c r="J1305" s="5"/>
    </row>
    <row r="1306" spans="1:10" ht="14.1" customHeight="1" thickBot="1" x14ac:dyDescent="0.25">
      <c r="A1306" s="83"/>
      <c r="B1306" s="62" t="s">
        <v>1786</v>
      </c>
      <c r="C1306" s="60">
        <f>IF(C1305="","",IF(AND(MONTH(C1305)&gt;=1,MONTH(C1305)&lt;=3),1,IF(AND(MONTH(C1305)&gt;=4,MONTH(C1305)&lt;=6),2,IF(AND(MONTH(C1305)&gt;=7,MONTH(C1305)&lt;=9),3,4))))</f>
        <v>1</v>
      </c>
      <c r="D1306" s="83"/>
      <c r="E1306" s="62" t="s">
        <v>13192</v>
      </c>
      <c r="F1306" s="61" t="s">
        <v>11112</v>
      </c>
      <c r="G1306" s="5"/>
      <c r="H1306" s="5"/>
      <c r="I1306" s="5"/>
      <c r="J1306" s="5"/>
    </row>
    <row r="1307" spans="1:10" ht="14.1" customHeight="1" thickBot="1" x14ac:dyDescent="0.25">
      <c r="A1307" s="5"/>
      <c r="B1307" s="5"/>
      <c r="C1307" s="5"/>
      <c r="D1307" s="5"/>
      <c r="E1307" s="5"/>
      <c r="F1307" s="5"/>
      <c r="G1307" s="5"/>
      <c r="H1307" s="5"/>
      <c r="I1307" s="5"/>
      <c r="J1307" s="5"/>
    </row>
    <row r="1308" spans="1:10" ht="14.1" customHeight="1" thickBot="1" x14ac:dyDescent="0.25">
      <c r="A1308" s="67" t="s">
        <v>15735</v>
      </c>
      <c r="B1308" s="67" t="s">
        <v>16146</v>
      </c>
      <c r="C1308" s="67" t="s">
        <v>15641</v>
      </c>
      <c r="D1308" s="67" t="s">
        <v>15251</v>
      </c>
      <c r="E1308" s="67" t="s">
        <v>6932</v>
      </c>
      <c r="F1308" s="67" t="s">
        <v>15280</v>
      </c>
      <c r="G1308" s="5"/>
      <c r="H1308" s="5"/>
      <c r="I1308" s="5"/>
      <c r="J1308" s="5"/>
    </row>
    <row r="1309" spans="1:10" ht="13.5" customHeight="1" x14ac:dyDescent="0.2">
      <c r="A1309" s="78">
        <v>25172504</v>
      </c>
      <c r="B1309" s="64" t="str">
        <f ca="1">IFERROR(INDEX(UNSPSCDes,MATCH(INDIRECT(ADDRESS(ROW(),COLUMN()-1,4)),UNSPSCCode,0)),"")</f>
        <v>Llantas para automóviles o camionetas</v>
      </c>
      <c r="C1309" s="63" t="s">
        <v>1449</v>
      </c>
      <c r="D1309" s="63">
        <v>30</v>
      </c>
      <c r="E1309" s="66">
        <v>4000</v>
      </c>
      <c r="F1309" s="65">
        <f ca="1">INDIRECT(ADDRESS(ROW(),COLUMN()-2,4))*INDIRECT(ADDRESS(ROW(),COLUMN()-1,4))</f>
        <v>120000</v>
      </c>
      <c r="G1309" s="5"/>
      <c r="H1309" s="5"/>
      <c r="I1309" s="5"/>
      <c r="J1309" s="5"/>
    </row>
    <row r="1310" spans="1:10" ht="13.5" customHeight="1" x14ac:dyDescent="0.2">
      <c r="A1310" s="78">
        <v>25172502</v>
      </c>
      <c r="B1310" s="64" t="str">
        <f ca="1">IFERROR(INDEX(UNSPSCDes,MATCH(INDIRECT(ADDRESS(ROW(),COLUMN()-1,4)),UNSPSCCode,0)),"")</f>
        <v>Neumático para llantas de automóviles</v>
      </c>
      <c r="C1310" s="63" t="s">
        <v>1449</v>
      </c>
      <c r="D1310" s="63">
        <v>30</v>
      </c>
      <c r="E1310" s="66">
        <v>6000</v>
      </c>
      <c r="F1310" s="65">
        <f ca="1">INDIRECT(ADDRESS(ROW(),COLUMN()-2,4))*INDIRECT(ADDRESS(ROW(),COLUMN()-1,4))</f>
        <v>180000</v>
      </c>
      <c r="G1310" s="5"/>
      <c r="H1310" s="5"/>
      <c r="I1310" s="5"/>
      <c r="J1310" s="5"/>
    </row>
    <row r="1311" spans="1:10" ht="14.1" customHeight="1" x14ac:dyDescent="0.2">
      <c r="A1311" s="5"/>
      <c r="B1311" s="5"/>
      <c r="C1311" s="5"/>
      <c r="D1311" s="5"/>
      <c r="E1311" s="68" t="s">
        <v>12550</v>
      </c>
      <c r="F1311" s="69">
        <f ca="1">SUM(Table376[MONTO TOTAL ESTIMADO])</f>
        <v>300000</v>
      </c>
      <c r="G1311" s="5"/>
      <c r="H1311" s="5" t="str">
        <f>C1302</f>
        <v>Bienes</v>
      </c>
      <c r="I1311" s="5" t="str">
        <f>E1302</f>
        <v>No</v>
      </c>
      <c r="J1311" s="5" t="str">
        <f>D1302</f>
        <v>Compras Menores</v>
      </c>
    </row>
    <row r="1312" spans="1:10" ht="14.1" customHeight="1" thickBot="1" x14ac:dyDescent="0.3"/>
    <row r="1313" spans="1:10" ht="33.75" customHeight="1" thickBot="1" x14ac:dyDescent="0.25">
      <c r="A1313" s="59" t="s">
        <v>16382</v>
      </c>
      <c r="B1313" s="59" t="s">
        <v>161</v>
      </c>
      <c r="C1313" s="59" t="s">
        <v>11724</v>
      </c>
      <c r="D1313" s="59" t="s">
        <v>14378</v>
      </c>
      <c r="E1313" s="59" t="s">
        <v>10962</v>
      </c>
      <c r="F1313" s="59" t="s">
        <v>11095</v>
      </c>
      <c r="G1313" s="5"/>
      <c r="H1313" s="5"/>
      <c r="I1313" s="5"/>
      <c r="J1313" s="5"/>
    </row>
    <row r="1314" spans="1:10" ht="13.5" customHeight="1" thickBot="1" x14ac:dyDescent="0.25">
      <c r="A1314" s="77" t="s">
        <v>18873</v>
      </c>
      <c r="B1314" s="77" t="s">
        <v>18873</v>
      </c>
      <c r="C1314" s="61" t="s">
        <v>17797</v>
      </c>
      <c r="D1314" s="61" t="s">
        <v>17482</v>
      </c>
      <c r="E1314" s="61" t="s">
        <v>17853</v>
      </c>
      <c r="F1314" s="61"/>
      <c r="G1314" s="5"/>
      <c r="H1314" s="5"/>
      <c r="I1314" s="5"/>
      <c r="J1314" s="5"/>
    </row>
    <row r="1315" spans="1:10" ht="14.1" customHeight="1" thickBot="1" x14ac:dyDescent="0.25">
      <c r="A1315" s="82" t="s">
        <v>14828</v>
      </c>
      <c r="B1315" s="62" t="s">
        <v>8528</v>
      </c>
      <c r="C1315" s="71">
        <v>43922</v>
      </c>
      <c r="D1315" s="82" t="s">
        <v>9385</v>
      </c>
      <c r="E1315" s="62" t="s">
        <v>13093</v>
      </c>
      <c r="F1315" s="61" t="s">
        <v>3080</v>
      </c>
      <c r="G1315" s="5"/>
      <c r="H1315" s="5"/>
      <c r="I1315" s="5"/>
      <c r="J1315" s="5"/>
    </row>
    <row r="1316" spans="1:10" ht="14.1" customHeight="1" thickBot="1" x14ac:dyDescent="0.25">
      <c r="A1316" s="83"/>
      <c r="B1316" s="62" t="s">
        <v>1786</v>
      </c>
      <c r="C1316" s="60">
        <f>IF(C1315="","",IF(AND(MONTH(C1315)&gt;=1,MONTH(C1315)&lt;=3),1,IF(AND(MONTH(C1315)&gt;=4,MONTH(C1315)&lt;=6),2,IF(AND(MONTH(C1315)&gt;=7,MONTH(C1315)&lt;=9),3,4))))</f>
        <v>2</v>
      </c>
      <c r="D1316" s="83"/>
      <c r="E1316" s="62" t="s">
        <v>2417</v>
      </c>
      <c r="F1316" s="61" t="s">
        <v>11112</v>
      </c>
      <c r="G1316" s="5"/>
      <c r="H1316" s="5"/>
      <c r="I1316" s="5"/>
      <c r="J1316" s="5"/>
    </row>
    <row r="1317" spans="1:10" ht="14.1" customHeight="1" thickBot="1" x14ac:dyDescent="0.25">
      <c r="A1317" s="83"/>
      <c r="B1317" s="62" t="s">
        <v>12942</v>
      </c>
      <c r="C1317" s="71">
        <v>44012</v>
      </c>
      <c r="D1317" s="83"/>
      <c r="E1317" s="62" t="s">
        <v>3073</v>
      </c>
      <c r="F1317" s="61" t="s">
        <v>11112</v>
      </c>
      <c r="G1317" s="5"/>
      <c r="H1317" s="5"/>
      <c r="I1317" s="5"/>
      <c r="J1317" s="5"/>
    </row>
    <row r="1318" spans="1:10" ht="14.1" customHeight="1" thickBot="1" x14ac:dyDescent="0.25">
      <c r="A1318" s="83"/>
      <c r="B1318" s="62" t="s">
        <v>1786</v>
      </c>
      <c r="C1318" s="60">
        <f>IF(C1317="","",IF(AND(MONTH(C1317)&gt;=1,MONTH(C1317)&lt;=3),1,IF(AND(MONTH(C1317)&gt;=4,MONTH(C1317)&lt;=6),2,IF(AND(MONTH(C1317)&gt;=7,MONTH(C1317)&lt;=9),3,4))))</f>
        <v>2</v>
      </c>
      <c r="D1318" s="83"/>
      <c r="E1318" s="62" t="s">
        <v>13192</v>
      </c>
      <c r="F1318" s="61" t="s">
        <v>11112</v>
      </c>
      <c r="G1318" s="5"/>
      <c r="H1318" s="5"/>
      <c r="I1318" s="5"/>
      <c r="J1318" s="5"/>
    </row>
    <row r="1319" spans="1:10" ht="14.1" customHeight="1" thickBot="1" x14ac:dyDescent="0.25">
      <c r="A1319" s="5"/>
      <c r="B1319" s="5"/>
      <c r="C1319" s="5"/>
      <c r="D1319" s="5"/>
      <c r="E1319" s="5"/>
      <c r="F1319" s="5"/>
      <c r="G1319" s="5"/>
      <c r="H1319" s="5"/>
      <c r="I1319" s="5"/>
      <c r="J1319" s="5"/>
    </row>
    <row r="1320" spans="1:10" ht="14.1" customHeight="1" thickBot="1" x14ac:dyDescent="0.25">
      <c r="A1320" s="67" t="s">
        <v>15735</v>
      </c>
      <c r="B1320" s="67" t="s">
        <v>16146</v>
      </c>
      <c r="C1320" s="67" t="s">
        <v>15641</v>
      </c>
      <c r="D1320" s="67" t="s">
        <v>15251</v>
      </c>
      <c r="E1320" s="67" t="s">
        <v>6932</v>
      </c>
      <c r="F1320" s="67" t="s">
        <v>15280</v>
      </c>
      <c r="G1320" s="5"/>
      <c r="H1320" s="5"/>
      <c r="I1320" s="5"/>
      <c r="J1320" s="5"/>
    </row>
    <row r="1321" spans="1:10" ht="13.5" customHeight="1" x14ac:dyDescent="0.2">
      <c r="A1321" s="78">
        <v>25172504</v>
      </c>
      <c r="B1321" s="64" t="str">
        <f ca="1">IFERROR(INDEX(UNSPSCDes,MATCH(INDIRECT(ADDRESS(ROW(),COLUMN()-1,4)),UNSPSCCode,0)),"")</f>
        <v>Llantas para automóviles o camionetas</v>
      </c>
      <c r="C1321" s="63" t="s">
        <v>1449</v>
      </c>
      <c r="D1321" s="63">
        <v>30</v>
      </c>
      <c r="E1321" s="66">
        <v>4000</v>
      </c>
      <c r="F1321" s="65">
        <f ca="1">INDIRECT(ADDRESS(ROW(),COLUMN()-2,4))*INDIRECT(ADDRESS(ROW(),COLUMN()-1,4))</f>
        <v>120000</v>
      </c>
      <c r="G1321" s="5"/>
      <c r="H1321" s="5"/>
      <c r="I1321" s="5"/>
      <c r="J1321" s="5"/>
    </row>
    <row r="1322" spans="1:10" ht="13.5" customHeight="1" x14ac:dyDescent="0.2">
      <c r="A1322" s="78">
        <v>25172502</v>
      </c>
      <c r="B1322" s="64" t="str">
        <f ca="1">IFERROR(INDEX(UNSPSCDes,MATCH(INDIRECT(ADDRESS(ROW(),COLUMN()-1,4)),UNSPSCCode,0)),"")</f>
        <v>Neumático para llantas de automóviles</v>
      </c>
      <c r="C1322" s="63" t="s">
        <v>1449</v>
      </c>
      <c r="D1322" s="63">
        <v>30</v>
      </c>
      <c r="E1322" s="66">
        <v>6000</v>
      </c>
      <c r="F1322" s="65">
        <f ca="1">INDIRECT(ADDRESS(ROW(),COLUMN()-2,4))*INDIRECT(ADDRESS(ROW(),COLUMN()-1,4))</f>
        <v>180000</v>
      </c>
      <c r="G1322" s="5"/>
      <c r="H1322" s="5"/>
      <c r="I1322" s="5"/>
      <c r="J1322" s="5"/>
    </row>
    <row r="1323" spans="1:10" ht="14.1" customHeight="1" x14ac:dyDescent="0.2">
      <c r="A1323" s="5"/>
      <c r="B1323" s="5"/>
      <c r="C1323" s="5"/>
      <c r="D1323" s="5"/>
      <c r="E1323" s="68" t="s">
        <v>12550</v>
      </c>
      <c r="F1323" s="69">
        <f ca="1">SUM(Table377[MONTO TOTAL ESTIMADO])</f>
        <v>300000</v>
      </c>
      <c r="G1323" s="5"/>
      <c r="H1323" s="5" t="str">
        <f>C1314</f>
        <v>Bienes</v>
      </c>
      <c r="I1323" s="5" t="str">
        <f>E1314</f>
        <v>No</v>
      </c>
      <c r="J1323" s="5" t="str">
        <f>D1314</f>
        <v>Compras Menores</v>
      </c>
    </row>
    <row r="1324" spans="1:10" ht="14.1" customHeight="1" thickBot="1" x14ac:dyDescent="0.3"/>
    <row r="1325" spans="1:10" ht="33.75" customHeight="1" thickBot="1" x14ac:dyDescent="0.25">
      <c r="A1325" s="59" t="s">
        <v>16382</v>
      </c>
      <c r="B1325" s="59" t="s">
        <v>161</v>
      </c>
      <c r="C1325" s="59" t="s">
        <v>11724</v>
      </c>
      <c r="D1325" s="59" t="s">
        <v>14378</v>
      </c>
      <c r="E1325" s="59" t="s">
        <v>10962</v>
      </c>
      <c r="F1325" s="59" t="s">
        <v>11095</v>
      </c>
      <c r="G1325" s="5"/>
      <c r="H1325" s="5"/>
      <c r="I1325" s="5"/>
      <c r="J1325" s="5"/>
    </row>
    <row r="1326" spans="1:10" ht="13.5" customHeight="1" thickBot="1" x14ac:dyDescent="0.25">
      <c r="A1326" s="77" t="s">
        <v>18873</v>
      </c>
      <c r="B1326" s="77" t="s">
        <v>18873</v>
      </c>
      <c r="C1326" s="61" t="s">
        <v>17797</v>
      </c>
      <c r="D1326" s="61" t="s">
        <v>17482</v>
      </c>
      <c r="E1326" s="61" t="s">
        <v>17853</v>
      </c>
      <c r="F1326" s="61"/>
      <c r="G1326" s="5"/>
      <c r="H1326" s="5"/>
      <c r="I1326" s="5"/>
      <c r="J1326" s="5"/>
    </row>
    <row r="1327" spans="1:10" ht="14.1" customHeight="1" thickBot="1" x14ac:dyDescent="0.25">
      <c r="A1327" s="82" t="s">
        <v>14828</v>
      </c>
      <c r="B1327" s="62" t="s">
        <v>8528</v>
      </c>
      <c r="C1327" s="71">
        <v>44013</v>
      </c>
      <c r="D1327" s="82" t="s">
        <v>9385</v>
      </c>
      <c r="E1327" s="62" t="s">
        <v>13093</v>
      </c>
      <c r="F1327" s="61" t="s">
        <v>3080</v>
      </c>
      <c r="G1327" s="5"/>
      <c r="H1327" s="5"/>
      <c r="I1327" s="5"/>
      <c r="J1327" s="5"/>
    </row>
    <row r="1328" spans="1:10" ht="14.1" customHeight="1" thickBot="1" x14ac:dyDescent="0.25">
      <c r="A1328" s="83"/>
      <c r="B1328" s="62" t="s">
        <v>1786</v>
      </c>
      <c r="C1328" s="60">
        <f>IF(C1327="","",IF(AND(MONTH(C1327)&gt;=1,MONTH(C1327)&lt;=3),1,IF(AND(MONTH(C1327)&gt;=4,MONTH(C1327)&lt;=6),2,IF(AND(MONTH(C1327)&gt;=7,MONTH(C1327)&lt;=9),3,4))))</f>
        <v>3</v>
      </c>
      <c r="D1328" s="83"/>
      <c r="E1328" s="62" t="s">
        <v>2417</v>
      </c>
      <c r="F1328" s="61" t="s">
        <v>11112</v>
      </c>
      <c r="G1328" s="5"/>
      <c r="H1328" s="5"/>
      <c r="I1328" s="5"/>
      <c r="J1328" s="5"/>
    </row>
    <row r="1329" spans="1:10" ht="14.1" customHeight="1" thickBot="1" x14ac:dyDescent="0.25">
      <c r="A1329" s="83"/>
      <c r="B1329" s="62" t="s">
        <v>12942</v>
      </c>
      <c r="C1329" s="71">
        <v>44104</v>
      </c>
      <c r="D1329" s="83"/>
      <c r="E1329" s="62" t="s">
        <v>3073</v>
      </c>
      <c r="F1329" s="61" t="s">
        <v>11112</v>
      </c>
      <c r="G1329" s="5"/>
      <c r="H1329" s="5"/>
      <c r="I1329" s="5"/>
      <c r="J1329" s="5"/>
    </row>
    <row r="1330" spans="1:10" ht="14.1" customHeight="1" thickBot="1" x14ac:dyDescent="0.25">
      <c r="A1330" s="83"/>
      <c r="B1330" s="62" t="s">
        <v>1786</v>
      </c>
      <c r="C1330" s="60">
        <f>IF(C1329="","",IF(AND(MONTH(C1329)&gt;=1,MONTH(C1329)&lt;=3),1,IF(AND(MONTH(C1329)&gt;=4,MONTH(C1329)&lt;=6),2,IF(AND(MONTH(C1329)&gt;=7,MONTH(C1329)&lt;=9),3,4))))</f>
        <v>3</v>
      </c>
      <c r="D1330" s="83"/>
      <c r="E1330" s="62" t="s">
        <v>13192</v>
      </c>
      <c r="F1330" s="61" t="s">
        <v>11112</v>
      </c>
      <c r="G1330" s="5"/>
      <c r="H1330" s="5"/>
      <c r="I1330" s="5"/>
      <c r="J1330" s="5"/>
    </row>
    <row r="1331" spans="1:10" ht="14.1" customHeight="1" thickBot="1" x14ac:dyDescent="0.25">
      <c r="A1331" s="5"/>
      <c r="B1331" s="5"/>
      <c r="C1331" s="5"/>
      <c r="D1331" s="5"/>
      <c r="E1331" s="5"/>
      <c r="F1331" s="5"/>
      <c r="G1331" s="5"/>
      <c r="H1331" s="5"/>
      <c r="I1331" s="5"/>
      <c r="J1331" s="5"/>
    </row>
    <row r="1332" spans="1:10" ht="14.1" customHeight="1" thickBot="1" x14ac:dyDescent="0.25">
      <c r="A1332" s="67" t="s">
        <v>15735</v>
      </c>
      <c r="B1332" s="67" t="s">
        <v>16146</v>
      </c>
      <c r="C1332" s="67" t="s">
        <v>15641</v>
      </c>
      <c r="D1332" s="67" t="s">
        <v>15251</v>
      </c>
      <c r="E1332" s="67" t="s">
        <v>6932</v>
      </c>
      <c r="F1332" s="67" t="s">
        <v>15280</v>
      </c>
      <c r="G1332" s="5"/>
      <c r="H1332" s="5"/>
      <c r="I1332" s="5"/>
      <c r="J1332" s="5"/>
    </row>
    <row r="1333" spans="1:10" ht="13.5" customHeight="1" x14ac:dyDescent="0.2">
      <c r="A1333" s="78">
        <v>25172504</v>
      </c>
      <c r="B1333" s="64" t="str">
        <f ca="1">IFERROR(INDEX(UNSPSCDes,MATCH(INDIRECT(ADDRESS(ROW(),COLUMN()-1,4)),UNSPSCCode,0)),"")</f>
        <v>Llantas para automóviles o camionetas</v>
      </c>
      <c r="C1333" s="63" t="s">
        <v>1449</v>
      </c>
      <c r="D1333" s="63">
        <v>30</v>
      </c>
      <c r="E1333" s="66">
        <v>4000</v>
      </c>
      <c r="F1333" s="65">
        <f ca="1">INDIRECT(ADDRESS(ROW(),COLUMN()-2,4))*INDIRECT(ADDRESS(ROW(),COLUMN()-1,4))</f>
        <v>120000</v>
      </c>
      <c r="G1333" s="5"/>
      <c r="H1333" s="5"/>
      <c r="I1333" s="5"/>
      <c r="J1333" s="5"/>
    </row>
    <row r="1334" spans="1:10" ht="13.5" customHeight="1" x14ac:dyDescent="0.2">
      <c r="A1334" s="78">
        <v>25172502</v>
      </c>
      <c r="B1334" s="64" t="str">
        <f ca="1">IFERROR(INDEX(UNSPSCDes,MATCH(INDIRECT(ADDRESS(ROW(),COLUMN()-1,4)),UNSPSCCode,0)),"")</f>
        <v>Neumático para llantas de automóviles</v>
      </c>
      <c r="C1334" s="63" t="s">
        <v>1449</v>
      </c>
      <c r="D1334" s="63">
        <v>30</v>
      </c>
      <c r="E1334" s="66">
        <v>6000</v>
      </c>
      <c r="F1334" s="65">
        <f ca="1">INDIRECT(ADDRESS(ROW(),COLUMN()-2,4))*INDIRECT(ADDRESS(ROW(),COLUMN()-1,4))</f>
        <v>180000</v>
      </c>
      <c r="G1334" s="5"/>
      <c r="H1334" s="5"/>
      <c r="I1334" s="5"/>
      <c r="J1334" s="5"/>
    </row>
    <row r="1335" spans="1:10" ht="14.1" customHeight="1" x14ac:dyDescent="0.2">
      <c r="A1335" s="5"/>
      <c r="B1335" s="5"/>
      <c r="C1335" s="5"/>
      <c r="D1335" s="5"/>
      <c r="E1335" s="68" t="s">
        <v>12550</v>
      </c>
      <c r="F1335" s="69">
        <f ca="1">SUM(Table378[MONTO TOTAL ESTIMADO])</f>
        <v>300000</v>
      </c>
      <c r="G1335" s="5"/>
      <c r="H1335" s="5" t="str">
        <f>C1326</f>
        <v>Bienes</v>
      </c>
      <c r="I1335" s="5" t="str">
        <f>E1326</f>
        <v>No</v>
      </c>
      <c r="J1335" s="5" t="str">
        <f>D1326</f>
        <v>Compras Menores</v>
      </c>
    </row>
    <row r="1336" spans="1:10" ht="14.1" customHeight="1" thickBot="1" x14ac:dyDescent="0.3"/>
    <row r="1337" spans="1:10" ht="33.75" customHeight="1" thickBot="1" x14ac:dyDescent="0.25">
      <c r="A1337" s="59" t="s">
        <v>16382</v>
      </c>
      <c r="B1337" s="59" t="s">
        <v>161</v>
      </c>
      <c r="C1337" s="59" t="s">
        <v>11724</v>
      </c>
      <c r="D1337" s="59" t="s">
        <v>14378</v>
      </c>
      <c r="E1337" s="59" t="s">
        <v>10962</v>
      </c>
      <c r="F1337" s="59" t="s">
        <v>11095</v>
      </c>
      <c r="G1337" s="5"/>
      <c r="H1337" s="5"/>
      <c r="I1337" s="5"/>
      <c r="J1337" s="5"/>
    </row>
    <row r="1338" spans="1:10" ht="13.5" customHeight="1" thickBot="1" x14ac:dyDescent="0.25">
      <c r="A1338" s="77" t="s">
        <v>18873</v>
      </c>
      <c r="B1338" s="77" t="s">
        <v>18873</v>
      </c>
      <c r="C1338" s="61" t="s">
        <v>17797</v>
      </c>
      <c r="D1338" s="61" t="s">
        <v>17482</v>
      </c>
      <c r="E1338" s="61" t="s">
        <v>17853</v>
      </c>
      <c r="F1338" s="61"/>
      <c r="G1338" s="5"/>
      <c r="H1338" s="5"/>
      <c r="I1338" s="5"/>
      <c r="J1338" s="5"/>
    </row>
    <row r="1339" spans="1:10" ht="14.1" customHeight="1" thickBot="1" x14ac:dyDescent="0.25">
      <c r="A1339" s="82" t="s">
        <v>14828</v>
      </c>
      <c r="B1339" s="62" t="s">
        <v>8528</v>
      </c>
      <c r="C1339" s="71">
        <v>44105</v>
      </c>
      <c r="D1339" s="82" t="s">
        <v>9385</v>
      </c>
      <c r="E1339" s="62" t="s">
        <v>13093</v>
      </c>
      <c r="F1339" s="61" t="s">
        <v>3080</v>
      </c>
      <c r="G1339" s="5"/>
      <c r="H1339" s="5"/>
      <c r="I1339" s="5"/>
      <c r="J1339" s="5"/>
    </row>
    <row r="1340" spans="1:10" ht="14.1" customHeight="1" thickBot="1" x14ac:dyDescent="0.25">
      <c r="A1340" s="83"/>
      <c r="B1340" s="62" t="s">
        <v>1786</v>
      </c>
      <c r="C1340" s="60">
        <f>IF(C1339="","",IF(AND(MONTH(C1339)&gt;=1,MONTH(C1339)&lt;=3),1,IF(AND(MONTH(C1339)&gt;=4,MONTH(C1339)&lt;=6),2,IF(AND(MONTH(C1339)&gt;=7,MONTH(C1339)&lt;=9),3,4))))</f>
        <v>4</v>
      </c>
      <c r="D1340" s="83"/>
      <c r="E1340" s="62" t="s">
        <v>2417</v>
      </c>
      <c r="F1340" s="61" t="s">
        <v>11112</v>
      </c>
      <c r="G1340" s="5"/>
      <c r="H1340" s="5"/>
      <c r="I1340" s="5"/>
      <c r="J1340" s="5"/>
    </row>
    <row r="1341" spans="1:10" ht="14.1" customHeight="1" thickBot="1" x14ac:dyDescent="0.25">
      <c r="A1341" s="83"/>
      <c r="B1341" s="62" t="s">
        <v>12942</v>
      </c>
      <c r="C1341" s="71">
        <v>44196</v>
      </c>
      <c r="D1341" s="83"/>
      <c r="E1341" s="62" t="s">
        <v>3073</v>
      </c>
      <c r="F1341" s="61" t="s">
        <v>11112</v>
      </c>
      <c r="G1341" s="5"/>
      <c r="H1341" s="5"/>
      <c r="I1341" s="5"/>
      <c r="J1341" s="5"/>
    </row>
    <row r="1342" spans="1:10" ht="14.1" customHeight="1" thickBot="1" x14ac:dyDescent="0.25">
      <c r="A1342" s="83"/>
      <c r="B1342" s="62" t="s">
        <v>1786</v>
      </c>
      <c r="C1342" s="60">
        <f>IF(C1341="","",IF(AND(MONTH(C1341)&gt;=1,MONTH(C1341)&lt;=3),1,IF(AND(MONTH(C1341)&gt;=4,MONTH(C1341)&lt;=6),2,IF(AND(MONTH(C1341)&gt;=7,MONTH(C1341)&lt;=9),3,4))))</f>
        <v>4</v>
      </c>
      <c r="D1342" s="83"/>
      <c r="E1342" s="62" t="s">
        <v>13192</v>
      </c>
      <c r="F1342" s="61" t="s">
        <v>11112</v>
      </c>
      <c r="G1342" s="5"/>
      <c r="H1342" s="5"/>
      <c r="I1342" s="5"/>
      <c r="J1342" s="5"/>
    </row>
    <row r="1343" spans="1:10" ht="14.1" customHeight="1" thickBot="1" x14ac:dyDescent="0.25">
      <c r="A1343" s="5"/>
      <c r="B1343" s="5"/>
      <c r="C1343" s="5"/>
      <c r="D1343" s="5"/>
      <c r="E1343" s="5"/>
      <c r="F1343" s="5"/>
      <c r="G1343" s="5"/>
      <c r="H1343" s="5"/>
      <c r="I1343" s="5"/>
      <c r="J1343" s="5"/>
    </row>
    <row r="1344" spans="1:10" ht="14.1" customHeight="1" thickBot="1" x14ac:dyDescent="0.25">
      <c r="A1344" s="67" t="s">
        <v>15735</v>
      </c>
      <c r="B1344" s="67" t="s">
        <v>16146</v>
      </c>
      <c r="C1344" s="67" t="s">
        <v>15641</v>
      </c>
      <c r="D1344" s="67" t="s">
        <v>15251</v>
      </c>
      <c r="E1344" s="67" t="s">
        <v>6932</v>
      </c>
      <c r="F1344" s="67" t="s">
        <v>15280</v>
      </c>
      <c r="G1344" s="5"/>
      <c r="H1344" s="5"/>
      <c r="I1344" s="5"/>
      <c r="J1344" s="5"/>
    </row>
    <row r="1345" spans="1:10" ht="13.5" customHeight="1" x14ac:dyDescent="0.2">
      <c r="A1345" s="78">
        <v>25172504</v>
      </c>
      <c r="B1345" s="64" t="str">
        <f ca="1">IFERROR(INDEX(UNSPSCDes,MATCH(INDIRECT(ADDRESS(ROW(),COLUMN()-1,4)),UNSPSCCode,0)),"")</f>
        <v>Llantas para automóviles o camionetas</v>
      </c>
      <c r="C1345" s="63" t="s">
        <v>1449</v>
      </c>
      <c r="D1345" s="63">
        <v>30</v>
      </c>
      <c r="E1345" s="66">
        <v>4000</v>
      </c>
      <c r="F1345" s="65">
        <f ca="1">INDIRECT(ADDRESS(ROW(),COLUMN()-2,4))*INDIRECT(ADDRESS(ROW(),COLUMN()-1,4))</f>
        <v>120000</v>
      </c>
      <c r="G1345" s="5"/>
      <c r="H1345" s="5"/>
      <c r="I1345" s="5"/>
      <c r="J1345" s="5"/>
    </row>
    <row r="1346" spans="1:10" ht="13.5" customHeight="1" x14ac:dyDescent="0.2">
      <c r="A1346" s="78">
        <v>25172502</v>
      </c>
      <c r="B1346" s="64" t="str">
        <f ca="1">IFERROR(INDEX(UNSPSCDes,MATCH(INDIRECT(ADDRESS(ROW(),COLUMN()-1,4)),UNSPSCCode,0)),"")</f>
        <v>Neumático para llantas de automóviles</v>
      </c>
      <c r="C1346" s="63" t="s">
        <v>1449</v>
      </c>
      <c r="D1346" s="63">
        <v>30</v>
      </c>
      <c r="E1346" s="66">
        <v>6000</v>
      </c>
      <c r="F1346" s="65">
        <f ca="1">INDIRECT(ADDRESS(ROW(),COLUMN()-2,4))*INDIRECT(ADDRESS(ROW(),COLUMN()-1,4))</f>
        <v>180000</v>
      </c>
      <c r="G1346" s="5"/>
      <c r="H1346" s="5"/>
      <c r="I1346" s="5"/>
      <c r="J1346" s="5"/>
    </row>
    <row r="1347" spans="1:10" ht="14.1" customHeight="1" x14ac:dyDescent="0.2">
      <c r="A1347" s="5"/>
      <c r="B1347" s="5"/>
      <c r="C1347" s="5"/>
      <c r="D1347" s="5"/>
      <c r="E1347" s="68" t="s">
        <v>12550</v>
      </c>
      <c r="F1347" s="69">
        <f ca="1">SUM(Table379[MONTO TOTAL ESTIMADO])</f>
        <v>300000</v>
      </c>
      <c r="G1347" s="5"/>
      <c r="H1347" s="5" t="str">
        <f>C1338</f>
        <v>Bienes</v>
      </c>
      <c r="I1347" s="5" t="str">
        <f>E1338</f>
        <v>No</v>
      </c>
      <c r="J1347" s="5" t="str">
        <f>D1338</f>
        <v>Compras Menores</v>
      </c>
    </row>
    <row r="1348" spans="1:10" ht="14.1" customHeight="1" thickBot="1" x14ac:dyDescent="0.3"/>
    <row r="1349" spans="1:10" ht="33.75" customHeight="1" thickBot="1" x14ac:dyDescent="0.25">
      <c r="A1349" s="59" t="s">
        <v>16382</v>
      </c>
      <c r="B1349" s="59" t="s">
        <v>161</v>
      </c>
      <c r="C1349" s="59" t="s">
        <v>11724</v>
      </c>
      <c r="D1349" s="59" t="s">
        <v>14378</v>
      </c>
      <c r="E1349" s="59" t="s">
        <v>10962</v>
      </c>
      <c r="F1349" s="59" t="s">
        <v>11095</v>
      </c>
      <c r="G1349" s="5"/>
      <c r="H1349" s="5"/>
      <c r="I1349" s="5"/>
      <c r="J1349" s="5"/>
    </row>
    <row r="1350" spans="1:10" ht="13.5" customHeight="1" thickBot="1" x14ac:dyDescent="0.25">
      <c r="A1350" s="77" t="s">
        <v>18875</v>
      </c>
      <c r="B1350" s="77" t="s">
        <v>18874</v>
      </c>
      <c r="C1350" s="61" t="s">
        <v>17797</v>
      </c>
      <c r="D1350" s="61" t="s">
        <v>10171</v>
      </c>
      <c r="E1350" s="61" t="s">
        <v>17853</v>
      </c>
      <c r="F1350" s="61"/>
      <c r="G1350" s="5"/>
      <c r="H1350" s="5"/>
      <c r="I1350" s="5"/>
      <c r="J1350" s="5"/>
    </row>
    <row r="1351" spans="1:10" ht="14.1" customHeight="1" thickBot="1" x14ac:dyDescent="0.25">
      <c r="A1351" s="82" t="s">
        <v>14828</v>
      </c>
      <c r="B1351" s="62" t="s">
        <v>8528</v>
      </c>
      <c r="C1351" s="71">
        <v>43922</v>
      </c>
      <c r="D1351" s="82" t="s">
        <v>9385</v>
      </c>
      <c r="E1351" s="62" t="s">
        <v>13093</v>
      </c>
      <c r="F1351" s="61" t="s">
        <v>3080</v>
      </c>
      <c r="G1351" s="5"/>
      <c r="H1351" s="5"/>
      <c r="I1351" s="5"/>
      <c r="J1351" s="5"/>
    </row>
    <row r="1352" spans="1:10" ht="14.1" customHeight="1" thickBot="1" x14ac:dyDescent="0.25">
      <c r="A1352" s="83"/>
      <c r="B1352" s="62" t="s">
        <v>1786</v>
      </c>
      <c r="C1352" s="60">
        <f>IF(C1351="","",IF(AND(MONTH(C1351)&gt;=1,MONTH(C1351)&lt;=3),1,IF(AND(MONTH(C1351)&gt;=4,MONTH(C1351)&lt;=6),2,IF(AND(MONTH(C1351)&gt;=7,MONTH(C1351)&lt;=9),3,4))))</f>
        <v>2</v>
      </c>
      <c r="D1352" s="83"/>
      <c r="E1352" s="62" t="s">
        <v>2417</v>
      </c>
      <c r="F1352" s="61" t="s">
        <v>11112</v>
      </c>
      <c r="G1352" s="5"/>
      <c r="H1352" s="5"/>
      <c r="I1352" s="5"/>
      <c r="J1352" s="5"/>
    </row>
    <row r="1353" spans="1:10" ht="14.1" customHeight="1" thickBot="1" x14ac:dyDescent="0.25">
      <c r="A1353" s="83"/>
      <c r="B1353" s="62" t="s">
        <v>12942</v>
      </c>
      <c r="C1353" s="71">
        <v>44012</v>
      </c>
      <c r="D1353" s="83"/>
      <c r="E1353" s="62" t="s">
        <v>3073</v>
      </c>
      <c r="F1353" s="61" t="s">
        <v>11112</v>
      </c>
      <c r="G1353" s="5"/>
      <c r="H1353" s="5"/>
      <c r="I1353" s="5"/>
      <c r="J1353" s="5"/>
    </row>
    <row r="1354" spans="1:10" ht="14.1" customHeight="1" thickBot="1" x14ac:dyDescent="0.25">
      <c r="A1354" s="83"/>
      <c r="B1354" s="62" t="s">
        <v>1786</v>
      </c>
      <c r="C1354" s="60">
        <f>IF(C1353="","",IF(AND(MONTH(C1353)&gt;=1,MONTH(C1353)&lt;=3),1,IF(AND(MONTH(C1353)&gt;=4,MONTH(C1353)&lt;=6),2,IF(AND(MONTH(C1353)&gt;=7,MONTH(C1353)&lt;=9),3,4))))</f>
        <v>2</v>
      </c>
      <c r="D1354" s="83"/>
      <c r="E1354" s="62" t="s">
        <v>13192</v>
      </c>
      <c r="F1354" s="61" t="s">
        <v>11112</v>
      </c>
      <c r="G1354" s="5"/>
      <c r="H1354" s="5"/>
      <c r="I1354" s="5"/>
      <c r="J1354" s="5"/>
    </row>
    <row r="1355" spans="1:10" ht="14.1" customHeight="1" thickBot="1" x14ac:dyDescent="0.25">
      <c r="A1355" s="5"/>
      <c r="B1355" s="5"/>
      <c r="C1355" s="5"/>
      <c r="D1355" s="5"/>
      <c r="E1355" s="5"/>
      <c r="F1355" s="5"/>
      <c r="G1355" s="5"/>
      <c r="H1355" s="5"/>
      <c r="I1355" s="5"/>
      <c r="J1355" s="5"/>
    </row>
    <row r="1356" spans="1:10" ht="14.1" customHeight="1" thickBot="1" x14ac:dyDescent="0.25">
      <c r="A1356" s="67" t="s">
        <v>15735</v>
      </c>
      <c r="B1356" s="67" t="s">
        <v>16146</v>
      </c>
      <c r="C1356" s="67" t="s">
        <v>15641</v>
      </c>
      <c r="D1356" s="67" t="s">
        <v>15251</v>
      </c>
      <c r="E1356" s="67" t="s">
        <v>6932</v>
      </c>
      <c r="F1356" s="67" t="s">
        <v>15280</v>
      </c>
      <c r="G1356" s="5"/>
      <c r="H1356" s="5"/>
      <c r="I1356" s="5"/>
      <c r="J1356" s="5"/>
    </row>
    <row r="1357" spans="1:10" ht="13.5" customHeight="1" x14ac:dyDescent="0.2">
      <c r="A1357" s="78">
        <v>40101701</v>
      </c>
      <c r="B1357" s="64" t="str">
        <f ca="1">IFERROR(INDEX(UNSPSCDes,MATCH(INDIRECT(ADDRESS(ROW(),COLUMN()-1,4)),UNSPSCCode,0)),"")</f>
        <v>Aires acondicionados</v>
      </c>
      <c r="C1357" s="63" t="s">
        <v>1449</v>
      </c>
      <c r="D1357" s="63">
        <v>1</v>
      </c>
      <c r="E1357" s="66">
        <v>23291</v>
      </c>
      <c r="F1357" s="65">
        <f ca="1">INDIRECT(ADDRESS(ROW(),COLUMN()-2,4))*INDIRECT(ADDRESS(ROW(),COLUMN()-1,4))</f>
        <v>23291</v>
      </c>
      <c r="G1357" s="5"/>
      <c r="H1357" s="5"/>
      <c r="I1357" s="5"/>
      <c r="J1357" s="5"/>
    </row>
    <row r="1358" spans="1:10" ht="13.5" customHeight="1" x14ac:dyDescent="0.2">
      <c r="A1358" s="78">
        <v>40101604</v>
      </c>
      <c r="B1358" s="64" t="str">
        <f ca="1">IFERROR(INDEX(UNSPSCDes,MATCH(INDIRECT(ADDRESS(ROW(),COLUMN()-1,4)),UNSPSCCode,0)),"")</f>
        <v>Ventiladores</v>
      </c>
      <c r="C1358" s="63" t="s">
        <v>1449</v>
      </c>
      <c r="D1358" s="63">
        <v>2</v>
      </c>
      <c r="E1358" s="66">
        <v>4000</v>
      </c>
      <c r="F1358" s="65">
        <f ca="1">INDIRECT(ADDRESS(ROW(),COLUMN()-2,4))*INDIRECT(ADDRESS(ROW(),COLUMN()-1,4))</f>
        <v>8000</v>
      </c>
      <c r="G1358" s="5"/>
      <c r="H1358" s="5"/>
      <c r="I1358" s="5"/>
      <c r="J1358" s="5"/>
    </row>
    <row r="1359" spans="1:10" ht="14.1" customHeight="1" x14ac:dyDescent="0.2">
      <c r="A1359" s="5"/>
      <c r="B1359" s="5"/>
      <c r="C1359" s="5"/>
      <c r="D1359" s="5"/>
      <c r="E1359" s="68" t="s">
        <v>12550</v>
      </c>
      <c r="F1359" s="69">
        <f ca="1">SUM(Table380[MONTO TOTAL ESTIMADO])</f>
        <v>31291</v>
      </c>
      <c r="G1359" s="5"/>
      <c r="H1359" s="5" t="str">
        <f>C1350</f>
        <v>Bienes</v>
      </c>
      <c r="I1359" s="5" t="str">
        <f>E1350</f>
        <v>No</v>
      </c>
      <c r="J1359" s="5" t="str">
        <f>D1350</f>
        <v>Compras por debajo del Umbral</v>
      </c>
    </row>
    <row r="1360" spans="1:10" ht="14.1" customHeight="1" thickBot="1" x14ac:dyDescent="0.3"/>
    <row r="1361" spans="1:10" ht="33.75" customHeight="1" thickBot="1" x14ac:dyDescent="0.25">
      <c r="A1361" s="59" t="s">
        <v>16382</v>
      </c>
      <c r="B1361" s="59" t="s">
        <v>161</v>
      </c>
      <c r="C1361" s="59" t="s">
        <v>11724</v>
      </c>
      <c r="D1361" s="59" t="s">
        <v>14378</v>
      </c>
      <c r="E1361" s="59" t="s">
        <v>10962</v>
      </c>
      <c r="F1361" s="59" t="s">
        <v>11095</v>
      </c>
      <c r="G1361" s="5"/>
      <c r="H1361" s="5"/>
      <c r="I1361" s="5"/>
      <c r="J1361" s="5"/>
    </row>
    <row r="1362" spans="1:10" ht="13.5" customHeight="1" thickBot="1" x14ac:dyDescent="0.25">
      <c r="A1362" s="77" t="s">
        <v>18876</v>
      </c>
      <c r="B1362" s="77" t="s">
        <v>18874</v>
      </c>
      <c r="C1362" s="61" t="s">
        <v>17797</v>
      </c>
      <c r="D1362" s="61" t="s">
        <v>10171</v>
      </c>
      <c r="E1362" s="61" t="s">
        <v>17853</v>
      </c>
      <c r="F1362" s="61"/>
      <c r="G1362" s="5"/>
      <c r="H1362" s="5"/>
      <c r="I1362" s="5"/>
      <c r="J1362" s="5"/>
    </row>
    <row r="1363" spans="1:10" ht="14.1" customHeight="1" thickBot="1" x14ac:dyDescent="0.25">
      <c r="A1363" s="82" t="s">
        <v>14828</v>
      </c>
      <c r="B1363" s="62" t="s">
        <v>8528</v>
      </c>
      <c r="C1363" s="71">
        <v>44013</v>
      </c>
      <c r="D1363" s="82" t="s">
        <v>9385</v>
      </c>
      <c r="E1363" s="62" t="s">
        <v>13093</v>
      </c>
      <c r="F1363" s="61" t="s">
        <v>3080</v>
      </c>
      <c r="G1363" s="5"/>
      <c r="H1363" s="5"/>
      <c r="I1363" s="5"/>
      <c r="J1363" s="5"/>
    </row>
    <row r="1364" spans="1:10" ht="14.1" customHeight="1" thickBot="1" x14ac:dyDescent="0.25">
      <c r="A1364" s="83"/>
      <c r="B1364" s="62" t="s">
        <v>1786</v>
      </c>
      <c r="C1364" s="60">
        <f>IF(C1363="","",IF(AND(MONTH(C1363)&gt;=1,MONTH(C1363)&lt;=3),1,IF(AND(MONTH(C1363)&gt;=4,MONTH(C1363)&lt;=6),2,IF(AND(MONTH(C1363)&gt;=7,MONTH(C1363)&lt;=9),3,4))))</f>
        <v>3</v>
      </c>
      <c r="D1364" s="83"/>
      <c r="E1364" s="62" t="s">
        <v>2417</v>
      </c>
      <c r="F1364" s="61" t="s">
        <v>11112</v>
      </c>
      <c r="G1364" s="5"/>
      <c r="H1364" s="5"/>
      <c r="I1364" s="5"/>
      <c r="J1364" s="5"/>
    </row>
    <row r="1365" spans="1:10" ht="14.1" customHeight="1" thickBot="1" x14ac:dyDescent="0.25">
      <c r="A1365" s="83"/>
      <c r="B1365" s="62" t="s">
        <v>12942</v>
      </c>
      <c r="C1365" s="71">
        <v>44104</v>
      </c>
      <c r="D1365" s="83"/>
      <c r="E1365" s="62" t="s">
        <v>3073</v>
      </c>
      <c r="F1365" s="61" t="s">
        <v>11112</v>
      </c>
      <c r="G1365" s="5"/>
      <c r="H1365" s="5"/>
      <c r="I1365" s="5"/>
      <c r="J1365" s="5"/>
    </row>
    <row r="1366" spans="1:10" ht="14.1" customHeight="1" thickBot="1" x14ac:dyDescent="0.25">
      <c r="A1366" s="83"/>
      <c r="B1366" s="62" t="s">
        <v>1786</v>
      </c>
      <c r="C1366" s="60">
        <f>IF(C1365="","",IF(AND(MONTH(C1365)&gt;=1,MONTH(C1365)&lt;=3),1,IF(AND(MONTH(C1365)&gt;=4,MONTH(C1365)&lt;=6),2,IF(AND(MONTH(C1365)&gt;=7,MONTH(C1365)&lt;=9),3,4))))</f>
        <v>3</v>
      </c>
      <c r="D1366" s="83"/>
      <c r="E1366" s="62" t="s">
        <v>13192</v>
      </c>
      <c r="F1366" s="61" t="s">
        <v>11112</v>
      </c>
      <c r="G1366" s="5"/>
      <c r="H1366" s="5"/>
      <c r="I1366" s="5"/>
      <c r="J1366" s="5"/>
    </row>
    <row r="1367" spans="1:10" ht="14.1" customHeight="1" thickBot="1" x14ac:dyDescent="0.25">
      <c r="A1367" s="5"/>
      <c r="B1367" s="5"/>
      <c r="C1367" s="5"/>
      <c r="D1367" s="5"/>
      <c r="E1367" s="5"/>
      <c r="F1367" s="5"/>
      <c r="G1367" s="5"/>
      <c r="H1367" s="5"/>
      <c r="I1367" s="5"/>
      <c r="J1367" s="5"/>
    </row>
    <row r="1368" spans="1:10" ht="14.1" customHeight="1" thickBot="1" x14ac:dyDescent="0.25">
      <c r="A1368" s="67" t="s">
        <v>15735</v>
      </c>
      <c r="B1368" s="67" t="s">
        <v>16146</v>
      </c>
      <c r="C1368" s="67" t="s">
        <v>15641</v>
      </c>
      <c r="D1368" s="67" t="s">
        <v>15251</v>
      </c>
      <c r="E1368" s="67" t="s">
        <v>6932</v>
      </c>
      <c r="F1368" s="67" t="s">
        <v>15280</v>
      </c>
      <c r="G1368" s="5"/>
      <c r="H1368" s="5"/>
      <c r="I1368" s="5"/>
      <c r="J1368" s="5"/>
    </row>
    <row r="1369" spans="1:10" ht="13.5" customHeight="1" x14ac:dyDescent="0.2">
      <c r="A1369" s="78">
        <v>40101701</v>
      </c>
      <c r="B1369" s="64" t="str">
        <f ca="1">IFERROR(INDEX(UNSPSCDes,MATCH(INDIRECT(ADDRESS(ROW(),COLUMN()-1,4)),UNSPSCCode,0)),"")</f>
        <v>Aires acondicionados</v>
      </c>
      <c r="C1369" s="63" t="s">
        <v>1449</v>
      </c>
      <c r="D1369" s="63">
        <v>1</v>
      </c>
      <c r="E1369" s="66">
        <v>23291</v>
      </c>
      <c r="F1369" s="65">
        <f ca="1">INDIRECT(ADDRESS(ROW(),COLUMN()-2,4))*INDIRECT(ADDRESS(ROW(),COLUMN()-1,4))</f>
        <v>23291</v>
      </c>
      <c r="G1369" s="5"/>
      <c r="H1369" s="5"/>
      <c r="I1369" s="5"/>
      <c r="J1369" s="5"/>
    </row>
    <row r="1370" spans="1:10" ht="13.5" customHeight="1" x14ac:dyDescent="0.2">
      <c r="A1370" s="78">
        <v>40101604</v>
      </c>
      <c r="B1370" s="64" t="str">
        <f ca="1">IFERROR(INDEX(UNSPSCDes,MATCH(INDIRECT(ADDRESS(ROW(),COLUMN()-1,4)),UNSPSCCode,0)),"")</f>
        <v>Ventiladores</v>
      </c>
      <c r="C1370" s="63" t="s">
        <v>1449</v>
      </c>
      <c r="D1370" s="63">
        <v>2</v>
      </c>
      <c r="E1370" s="66">
        <v>4000</v>
      </c>
      <c r="F1370" s="65">
        <f ca="1">INDIRECT(ADDRESS(ROW(),COLUMN()-2,4))*INDIRECT(ADDRESS(ROW(),COLUMN()-1,4))</f>
        <v>8000</v>
      </c>
      <c r="G1370" s="5"/>
      <c r="H1370" s="5"/>
      <c r="I1370" s="5"/>
      <c r="J1370" s="5"/>
    </row>
    <row r="1371" spans="1:10" ht="14.1" customHeight="1" x14ac:dyDescent="0.2">
      <c r="A1371" s="5"/>
      <c r="B1371" s="5"/>
      <c r="C1371" s="5"/>
      <c r="D1371" s="5"/>
      <c r="E1371" s="68" t="s">
        <v>12550</v>
      </c>
      <c r="F1371" s="69">
        <f ca="1">SUM(Table381[MONTO TOTAL ESTIMADO])</f>
        <v>31291</v>
      </c>
      <c r="G1371" s="5"/>
      <c r="H1371" s="5" t="str">
        <f>C1362</f>
        <v>Bienes</v>
      </c>
      <c r="I1371" s="5" t="str">
        <f>E1362</f>
        <v>No</v>
      </c>
      <c r="J1371" s="5" t="str">
        <f>D1362</f>
        <v>Compras por debajo del Umbral</v>
      </c>
    </row>
    <row r="1372" spans="1:10" ht="14.1" customHeight="1" thickBot="1" x14ac:dyDescent="0.3"/>
    <row r="1373" spans="1:10" ht="33.75" customHeight="1" thickBot="1" x14ac:dyDescent="0.25">
      <c r="A1373" s="59" t="s">
        <v>16382</v>
      </c>
      <c r="B1373" s="59" t="s">
        <v>161</v>
      </c>
      <c r="C1373" s="59" t="s">
        <v>11724</v>
      </c>
      <c r="D1373" s="59" t="s">
        <v>14378</v>
      </c>
      <c r="E1373" s="59" t="s">
        <v>10962</v>
      </c>
      <c r="F1373" s="59" t="s">
        <v>11095</v>
      </c>
      <c r="G1373" s="5"/>
      <c r="H1373" s="5"/>
      <c r="I1373" s="5"/>
      <c r="J1373" s="5"/>
    </row>
    <row r="1374" spans="1:10" ht="13.5" customHeight="1" thickBot="1" x14ac:dyDescent="0.25">
      <c r="A1374" s="77" t="s">
        <v>18876</v>
      </c>
      <c r="B1374" s="77" t="s">
        <v>18874</v>
      </c>
      <c r="C1374" s="61" t="s">
        <v>17797</v>
      </c>
      <c r="D1374" s="61" t="s">
        <v>10171</v>
      </c>
      <c r="E1374" s="61" t="s">
        <v>17853</v>
      </c>
      <c r="F1374" s="61"/>
      <c r="G1374" s="5"/>
      <c r="H1374" s="5"/>
      <c r="I1374" s="5"/>
      <c r="J1374" s="5"/>
    </row>
    <row r="1375" spans="1:10" ht="14.1" customHeight="1" thickBot="1" x14ac:dyDescent="0.25">
      <c r="A1375" s="82" t="s">
        <v>14828</v>
      </c>
      <c r="B1375" s="62" t="s">
        <v>8528</v>
      </c>
      <c r="C1375" s="71">
        <v>44105</v>
      </c>
      <c r="D1375" s="82" t="s">
        <v>9385</v>
      </c>
      <c r="E1375" s="62" t="s">
        <v>13093</v>
      </c>
      <c r="F1375" s="61" t="s">
        <v>3080</v>
      </c>
      <c r="G1375" s="5"/>
      <c r="H1375" s="5"/>
      <c r="I1375" s="5"/>
      <c r="J1375" s="5"/>
    </row>
    <row r="1376" spans="1:10" ht="14.1" customHeight="1" thickBot="1" x14ac:dyDescent="0.25">
      <c r="A1376" s="83"/>
      <c r="B1376" s="62" t="s">
        <v>1786</v>
      </c>
      <c r="C1376" s="60">
        <f>IF(C1375="","",IF(AND(MONTH(C1375)&gt;=1,MONTH(C1375)&lt;=3),1,IF(AND(MONTH(C1375)&gt;=4,MONTH(C1375)&lt;=6),2,IF(AND(MONTH(C1375)&gt;=7,MONTH(C1375)&lt;=9),3,4))))</f>
        <v>4</v>
      </c>
      <c r="D1376" s="83"/>
      <c r="E1376" s="62" t="s">
        <v>2417</v>
      </c>
      <c r="F1376" s="61" t="s">
        <v>11112</v>
      </c>
      <c r="G1376" s="5"/>
      <c r="H1376" s="5"/>
      <c r="I1376" s="5"/>
      <c r="J1376" s="5"/>
    </row>
    <row r="1377" spans="1:10" ht="14.1" customHeight="1" thickBot="1" x14ac:dyDescent="0.25">
      <c r="A1377" s="83"/>
      <c r="B1377" s="62" t="s">
        <v>12942</v>
      </c>
      <c r="C1377" s="71">
        <v>44196</v>
      </c>
      <c r="D1377" s="83"/>
      <c r="E1377" s="62" t="s">
        <v>3073</v>
      </c>
      <c r="F1377" s="61" t="s">
        <v>11112</v>
      </c>
      <c r="G1377" s="5"/>
      <c r="H1377" s="5"/>
      <c r="I1377" s="5"/>
      <c r="J1377" s="5"/>
    </row>
    <row r="1378" spans="1:10" ht="14.1" customHeight="1" thickBot="1" x14ac:dyDescent="0.25">
      <c r="A1378" s="83"/>
      <c r="B1378" s="62" t="s">
        <v>1786</v>
      </c>
      <c r="C1378" s="60">
        <f>IF(C1377="","",IF(AND(MONTH(C1377)&gt;=1,MONTH(C1377)&lt;=3),1,IF(AND(MONTH(C1377)&gt;=4,MONTH(C1377)&lt;=6),2,IF(AND(MONTH(C1377)&gt;=7,MONTH(C1377)&lt;=9),3,4))))</f>
        <v>4</v>
      </c>
      <c r="D1378" s="83"/>
      <c r="E1378" s="62" t="s">
        <v>13192</v>
      </c>
      <c r="F1378" s="61" t="s">
        <v>11112</v>
      </c>
      <c r="G1378" s="5"/>
      <c r="H1378" s="5"/>
      <c r="I1378" s="5"/>
      <c r="J1378" s="5"/>
    </row>
    <row r="1379" spans="1:10" ht="14.1" customHeight="1" thickBot="1" x14ac:dyDescent="0.25">
      <c r="A1379" s="5"/>
      <c r="B1379" s="5"/>
      <c r="C1379" s="5"/>
      <c r="D1379" s="5"/>
      <c r="E1379" s="5"/>
      <c r="F1379" s="5"/>
      <c r="G1379" s="5"/>
      <c r="H1379" s="5"/>
      <c r="I1379" s="5"/>
      <c r="J1379" s="5"/>
    </row>
    <row r="1380" spans="1:10" ht="14.1" customHeight="1" thickBot="1" x14ac:dyDescent="0.25">
      <c r="A1380" s="67" t="s">
        <v>15735</v>
      </c>
      <c r="B1380" s="67" t="s">
        <v>16146</v>
      </c>
      <c r="C1380" s="67" t="s">
        <v>15641</v>
      </c>
      <c r="D1380" s="67" t="s">
        <v>15251</v>
      </c>
      <c r="E1380" s="67" t="s">
        <v>6932</v>
      </c>
      <c r="F1380" s="67" t="s">
        <v>15280</v>
      </c>
      <c r="G1380" s="5"/>
      <c r="H1380" s="5"/>
      <c r="I1380" s="5"/>
      <c r="J1380" s="5"/>
    </row>
    <row r="1381" spans="1:10" ht="13.5" customHeight="1" x14ac:dyDescent="0.2">
      <c r="A1381" s="78">
        <v>40101701</v>
      </c>
      <c r="B1381" s="64" t="str">
        <f ca="1">IFERROR(INDEX(UNSPSCDes,MATCH(INDIRECT(ADDRESS(ROW(),COLUMN()-1,4)),UNSPSCCode,0)),"")</f>
        <v>Aires acondicionados</v>
      </c>
      <c r="C1381" s="63" t="s">
        <v>1449</v>
      </c>
      <c r="D1381" s="63">
        <v>1</v>
      </c>
      <c r="E1381" s="66">
        <v>23291</v>
      </c>
      <c r="F1381" s="65">
        <f ca="1">INDIRECT(ADDRESS(ROW(),COLUMN()-2,4))*INDIRECT(ADDRESS(ROW(),COLUMN()-1,4))</f>
        <v>23291</v>
      </c>
      <c r="G1381" s="5"/>
      <c r="H1381" s="5"/>
      <c r="I1381" s="5"/>
      <c r="J1381" s="5"/>
    </row>
    <row r="1382" spans="1:10" ht="13.5" customHeight="1" x14ac:dyDescent="0.2">
      <c r="A1382" s="78">
        <v>40101604</v>
      </c>
      <c r="B1382" s="64" t="str">
        <f ca="1">IFERROR(INDEX(UNSPSCDes,MATCH(INDIRECT(ADDRESS(ROW(),COLUMN()-1,4)),UNSPSCCode,0)),"")</f>
        <v>Ventiladores</v>
      </c>
      <c r="C1382" s="63" t="s">
        <v>1449</v>
      </c>
      <c r="D1382" s="63">
        <v>2</v>
      </c>
      <c r="E1382" s="66">
        <v>4000</v>
      </c>
      <c r="F1382" s="65">
        <f ca="1">INDIRECT(ADDRESS(ROW(),COLUMN()-2,4))*INDIRECT(ADDRESS(ROW(),COLUMN()-1,4))</f>
        <v>8000</v>
      </c>
      <c r="G1382" s="5"/>
      <c r="H1382" s="5"/>
      <c r="I1382" s="5"/>
      <c r="J1382" s="5"/>
    </row>
    <row r="1383" spans="1:10" ht="14.1" customHeight="1" x14ac:dyDescent="0.2">
      <c r="A1383" s="5"/>
      <c r="B1383" s="5"/>
      <c r="C1383" s="5"/>
      <c r="D1383" s="5"/>
      <c r="E1383" s="68" t="s">
        <v>12550</v>
      </c>
      <c r="F1383" s="69">
        <f ca="1">SUM(Table382[MONTO TOTAL ESTIMADO])</f>
        <v>31291</v>
      </c>
      <c r="G1383" s="5"/>
      <c r="H1383" s="5" t="str">
        <f>C1374</f>
        <v>Bienes</v>
      </c>
      <c r="I1383" s="5" t="str">
        <f>E1374</f>
        <v>No</v>
      </c>
      <c r="J1383" s="5" t="str">
        <f>D1374</f>
        <v>Compras por debajo del Umbral</v>
      </c>
    </row>
    <row r="1384" spans="1:10" ht="14.1" customHeight="1" thickBot="1" x14ac:dyDescent="0.3"/>
    <row r="1385" spans="1:10" ht="33.75" customHeight="1" thickBot="1" x14ac:dyDescent="0.25">
      <c r="A1385" s="59" t="s">
        <v>16382</v>
      </c>
      <c r="B1385" s="59" t="s">
        <v>161</v>
      </c>
      <c r="C1385" s="59" t="s">
        <v>11724</v>
      </c>
      <c r="D1385" s="59" t="s">
        <v>14378</v>
      </c>
      <c r="E1385" s="59" t="s">
        <v>10962</v>
      </c>
      <c r="F1385" s="59" t="s">
        <v>11095</v>
      </c>
      <c r="G1385" s="5"/>
      <c r="H1385" s="5"/>
      <c r="I1385" s="5"/>
      <c r="J1385" s="5"/>
    </row>
    <row r="1386" spans="1:10" ht="13.5" customHeight="1" thickBot="1" x14ac:dyDescent="0.25">
      <c r="A1386" s="77" t="s">
        <v>18877</v>
      </c>
      <c r="B1386" s="77" t="s">
        <v>18877</v>
      </c>
      <c r="C1386" s="61" t="s">
        <v>17797</v>
      </c>
      <c r="D1386" s="61" t="s">
        <v>17482</v>
      </c>
      <c r="E1386" s="61" t="s">
        <v>17853</v>
      </c>
      <c r="F1386" s="61"/>
      <c r="G1386" s="5"/>
      <c r="H1386" s="5"/>
      <c r="I1386" s="5"/>
      <c r="J1386" s="5"/>
    </row>
    <row r="1387" spans="1:10" ht="14.1" customHeight="1" thickBot="1" x14ac:dyDescent="0.25">
      <c r="A1387" s="82" t="s">
        <v>14828</v>
      </c>
      <c r="B1387" s="62" t="s">
        <v>8528</v>
      </c>
      <c r="C1387" s="71">
        <v>43922</v>
      </c>
      <c r="D1387" s="82" t="s">
        <v>9385</v>
      </c>
      <c r="E1387" s="62" t="s">
        <v>13093</v>
      </c>
      <c r="F1387" s="61" t="s">
        <v>3080</v>
      </c>
      <c r="G1387" s="5"/>
      <c r="H1387" s="5"/>
      <c r="I1387" s="5"/>
      <c r="J1387" s="5"/>
    </row>
    <row r="1388" spans="1:10" ht="14.1" customHeight="1" thickBot="1" x14ac:dyDescent="0.25">
      <c r="A1388" s="83"/>
      <c r="B1388" s="62" t="s">
        <v>1786</v>
      </c>
      <c r="C1388" s="60">
        <f>IF(C1387="","",IF(AND(MONTH(C1387)&gt;=1,MONTH(C1387)&lt;=3),1,IF(AND(MONTH(C1387)&gt;=4,MONTH(C1387)&lt;=6),2,IF(AND(MONTH(C1387)&gt;=7,MONTH(C1387)&lt;=9),3,4))))</f>
        <v>2</v>
      </c>
      <c r="D1388" s="83"/>
      <c r="E1388" s="62" t="s">
        <v>2417</v>
      </c>
      <c r="F1388" s="61" t="s">
        <v>11112</v>
      </c>
      <c r="G1388" s="5"/>
      <c r="H1388" s="5"/>
      <c r="I1388" s="5"/>
      <c r="J1388" s="5"/>
    </row>
    <row r="1389" spans="1:10" ht="14.1" customHeight="1" thickBot="1" x14ac:dyDescent="0.25">
      <c r="A1389" s="83"/>
      <c r="B1389" s="62" t="s">
        <v>12942</v>
      </c>
      <c r="C1389" s="71">
        <v>44012</v>
      </c>
      <c r="D1389" s="83"/>
      <c r="E1389" s="62" t="s">
        <v>3073</v>
      </c>
      <c r="F1389" s="61" t="s">
        <v>11112</v>
      </c>
      <c r="G1389" s="5"/>
      <c r="H1389" s="5"/>
      <c r="I1389" s="5"/>
      <c r="J1389" s="5"/>
    </row>
    <row r="1390" spans="1:10" ht="14.1" customHeight="1" thickBot="1" x14ac:dyDescent="0.25">
      <c r="A1390" s="83"/>
      <c r="B1390" s="62" t="s">
        <v>1786</v>
      </c>
      <c r="C1390" s="60">
        <f>IF(C1389="","",IF(AND(MONTH(C1389)&gt;=1,MONTH(C1389)&lt;=3),1,IF(AND(MONTH(C1389)&gt;=4,MONTH(C1389)&lt;=6),2,IF(AND(MONTH(C1389)&gt;=7,MONTH(C1389)&lt;=9),3,4))))</f>
        <v>2</v>
      </c>
      <c r="D1390" s="83"/>
      <c r="E1390" s="62" t="s">
        <v>13192</v>
      </c>
      <c r="F1390" s="61" t="s">
        <v>11112</v>
      </c>
      <c r="G1390" s="5"/>
      <c r="H1390" s="5"/>
      <c r="I1390" s="5"/>
      <c r="J1390" s="5"/>
    </row>
    <row r="1391" spans="1:10" ht="14.1" customHeight="1" thickBot="1" x14ac:dyDescent="0.25">
      <c r="A1391" s="5"/>
      <c r="B1391" s="5"/>
      <c r="C1391" s="5"/>
      <c r="D1391" s="5"/>
      <c r="E1391" s="5"/>
      <c r="F1391" s="5"/>
      <c r="G1391" s="5"/>
      <c r="H1391" s="5"/>
      <c r="I1391" s="5"/>
      <c r="J1391" s="5"/>
    </row>
    <row r="1392" spans="1:10" ht="14.1" customHeight="1" thickBot="1" x14ac:dyDescent="0.25">
      <c r="A1392" s="67" t="s">
        <v>15735</v>
      </c>
      <c r="B1392" s="67" t="s">
        <v>16146</v>
      </c>
      <c r="C1392" s="67" t="s">
        <v>15641</v>
      </c>
      <c r="D1392" s="67" t="s">
        <v>15251</v>
      </c>
      <c r="E1392" s="67" t="s">
        <v>6932</v>
      </c>
      <c r="F1392" s="67" t="s">
        <v>15280</v>
      </c>
      <c r="G1392" s="5"/>
      <c r="H1392" s="5"/>
      <c r="I1392" s="5"/>
      <c r="J1392" s="5"/>
    </row>
    <row r="1393" spans="1:10" ht="13.5" customHeight="1" x14ac:dyDescent="0.2">
      <c r="A1393" s="78">
        <v>43231507</v>
      </c>
      <c r="B1393" s="64" t="str">
        <f ca="1">IFERROR(INDEX(UNSPSCDes,MATCH(INDIRECT(ADDRESS(ROW(),COLUMN()-1,4)),UNSPSCCode,0)),"")</f>
        <v>Software de manejo de proyectos</v>
      </c>
      <c r="C1393" s="63" t="s">
        <v>1449</v>
      </c>
      <c r="D1393" s="63">
        <v>1</v>
      </c>
      <c r="E1393" s="66">
        <v>80000</v>
      </c>
      <c r="F1393" s="65">
        <f ca="1">INDIRECT(ADDRESS(ROW(),COLUMN()-2,4))*INDIRECT(ADDRESS(ROW(),COLUMN()-1,4))</f>
        <v>80000</v>
      </c>
      <c r="G1393" s="5"/>
      <c r="H1393" s="5"/>
      <c r="I1393" s="5"/>
      <c r="J1393" s="5"/>
    </row>
    <row r="1394" spans="1:10" ht="13.5" customHeight="1" x14ac:dyDescent="0.2">
      <c r="A1394" s="78">
        <v>43231505</v>
      </c>
      <c r="B1394" s="64" t="str">
        <f ca="1">IFERROR(INDEX(UNSPSCDes,MATCH(INDIRECT(ADDRESS(ROW(),COLUMN()-1,4)),UNSPSCCode,0)),"")</f>
        <v>Software de recursos humanos</v>
      </c>
      <c r="C1394" s="63" t="s">
        <v>1449</v>
      </c>
      <c r="D1394" s="63">
        <v>1</v>
      </c>
      <c r="E1394" s="66">
        <v>70000</v>
      </c>
      <c r="F1394" s="65">
        <f ca="1">INDIRECT(ADDRESS(ROW(),COLUMN()-2,4))*INDIRECT(ADDRESS(ROW(),COLUMN()-1,4))</f>
        <v>70000</v>
      </c>
      <c r="G1394" s="5"/>
      <c r="H1394" s="5"/>
      <c r="I1394" s="5"/>
      <c r="J1394" s="5"/>
    </row>
    <row r="1395" spans="1:10" ht="14.1" customHeight="1" x14ac:dyDescent="0.2">
      <c r="A1395" s="5"/>
      <c r="B1395" s="5"/>
      <c r="C1395" s="5"/>
      <c r="D1395" s="5"/>
      <c r="E1395" s="68" t="s">
        <v>12550</v>
      </c>
      <c r="F1395" s="69">
        <f ca="1">SUM(Table383[MONTO TOTAL ESTIMADO])</f>
        <v>150000</v>
      </c>
      <c r="G1395" s="5"/>
      <c r="H1395" s="5" t="str">
        <f>C1386</f>
        <v>Bienes</v>
      </c>
      <c r="I1395" s="5" t="str">
        <f>E1386</f>
        <v>No</v>
      </c>
      <c r="J1395" s="5" t="str">
        <f>D1386</f>
        <v>Compras Menores</v>
      </c>
    </row>
    <row r="1396" spans="1:10" ht="14.1" customHeight="1" thickBot="1" x14ac:dyDescent="0.3"/>
    <row r="1397" spans="1:10" ht="33.75" customHeight="1" thickBot="1" x14ac:dyDescent="0.25">
      <c r="A1397" s="59" t="s">
        <v>16382</v>
      </c>
      <c r="B1397" s="59" t="s">
        <v>161</v>
      </c>
      <c r="C1397" s="59" t="s">
        <v>11724</v>
      </c>
      <c r="D1397" s="59" t="s">
        <v>14378</v>
      </c>
      <c r="E1397" s="59" t="s">
        <v>10962</v>
      </c>
      <c r="F1397" s="59" t="s">
        <v>11095</v>
      </c>
      <c r="G1397" s="5"/>
      <c r="H1397" s="5"/>
      <c r="I1397" s="5"/>
      <c r="J1397" s="5"/>
    </row>
    <row r="1398" spans="1:10" ht="13.5" customHeight="1" thickBot="1" x14ac:dyDescent="0.25">
      <c r="A1398" s="77" t="s">
        <v>18877</v>
      </c>
      <c r="B1398" s="77" t="s">
        <v>18877</v>
      </c>
      <c r="C1398" s="61" t="s">
        <v>17797</v>
      </c>
      <c r="D1398" s="61" t="s">
        <v>17482</v>
      </c>
      <c r="E1398" s="61" t="s">
        <v>17853</v>
      </c>
      <c r="F1398" s="61"/>
      <c r="G1398" s="5"/>
      <c r="H1398" s="5"/>
      <c r="I1398" s="5"/>
      <c r="J1398" s="5"/>
    </row>
    <row r="1399" spans="1:10" ht="14.1" customHeight="1" thickBot="1" x14ac:dyDescent="0.25">
      <c r="A1399" s="82" t="s">
        <v>14828</v>
      </c>
      <c r="B1399" s="62" t="s">
        <v>8528</v>
      </c>
      <c r="C1399" s="71">
        <v>44013</v>
      </c>
      <c r="D1399" s="82" t="s">
        <v>9385</v>
      </c>
      <c r="E1399" s="62" t="s">
        <v>13093</v>
      </c>
      <c r="F1399" s="61" t="s">
        <v>3080</v>
      </c>
      <c r="G1399" s="5"/>
      <c r="H1399" s="5"/>
      <c r="I1399" s="5"/>
      <c r="J1399" s="5"/>
    </row>
    <row r="1400" spans="1:10" ht="14.1" customHeight="1" thickBot="1" x14ac:dyDescent="0.25">
      <c r="A1400" s="83"/>
      <c r="B1400" s="62" t="s">
        <v>1786</v>
      </c>
      <c r="C1400" s="60">
        <f>IF(C1399="","",IF(AND(MONTH(C1399)&gt;=1,MONTH(C1399)&lt;=3),1,IF(AND(MONTH(C1399)&gt;=4,MONTH(C1399)&lt;=6),2,IF(AND(MONTH(C1399)&gt;=7,MONTH(C1399)&lt;=9),3,4))))</f>
        <v>3</v>
      </c>
      <c r="D1400" s="83"/>
      <c r="E1400" s="62" t="s">
        <v>2417</v>
      </c>
      <c r="F1400" s="61" t="s">
        <v>11112</v>
      </c>
      <c r="G1400" s="5"/>
      <c r="H1400" s="5"/>
      <c r="I1400" s="5"/>
      <c r="J1400" s="5"/>
    </row>
    <row r="1401" spans="1:10" ht="14.1" customHeight="1" thickBot="1" x14ac:dyDescent="0.25">
      <c r="A1401" s="83"/>
      <c r="B1401" s="62" t="s">
        <v>12942</v>
      </c>
      <c r="C1401" s="71">
        <v>44104</v>
      </c>
      <c r="D1401" s="83"/>
      <c r="E1401" s="62" t="s">
        <v>3073</v>
      </c>
      <c r="F1401" s="61" t="s">
        <v>11112</v>
      </c>
      <c r="G1401" s="5"/>
      <c r="H1401" s="5"/>
      <c r="I1401" s="5"/>
      <c r="J1401" s="5"/>
    </row>
    <row r="1402" spans="1:10" ht="14.1" customHeight="1" thickBot="1" x14ac:dyDescent="0.25">
      <c r="A1402" s="83"/>
      <c r="B1402" s="62" t="s">
        <v>1786</v>
      </c>
      <c r="C1402" s="60">
        <f>IF(C1401="","",IF(AND(MONTH(C1401)&gt;=1,MONTH(C1401)&lt;=3),1,IF(AND(MONTH(C1401)&gt;=4,MONTH(C1401)&lt;=6),2,IF(AND(MONTH(C1401)&gt;=7,MONTH(C1401)&lt;=9),3,4))))</f>
        <v>3</v>
      </c>
      <c r="D1402" s="83"/>
      <c r="E1402" s="62" t="s">
        <v>13192</v>
      </c>
      <c r="F1402" s="61" t="s">
        <v>11112</v>
      </c>
      <c r="G1402" s="5"/>
      <c r="H1402" s="5"/>
      <c r="I1402" s="5"/>
      <c r="J1402" s="5"/>
    </row>
    <row r="1403" spans="1:10" ht="14.1" customHeight="1" thickBot="1" x14ac:dyDescent="0.25">
      <c r="A1403" s="5"/>
      <c r="B1403" s="5"/>
      <c r="C1403" s="5"/>
      <c r="D1403" s="5"/>
      <c r="E1403" s="5"/>
      <c r="F1403" s="5"/>
      <c r="G1403" s="5"/>
      <c r="H1403" s="5"/>
      <c r="I1403" s="5"/>
      <c r="J1403" s="5"/>
    </row>
    <row r="1404" spans="1:10" ht="14.1" customHeight="1" thickBot="1" x14ac:dyDescent="0.25">
      <c r="A1404" s="67" t="s">
        <v>15735</v>
      </c>
      <c r="B1404" s="67" t="s">
        <v>16146</v>
      </c>
      <c r="C1404" s="67" t="s">
        <v>15641</v>
      </c>
      <c r="D1404" s="67" t="s">
        <v>15251</v>
      </c>
      <c r="E1404" s="67" t="s">
        <v>6932</v>
      </c>
      <c r="F1404" s="67" t="s">
        <v>15280</v>
      </c>
      <c r="G1404" s="5"/>
      <c r="H1404" s="5"/>
      <c r="I1404" s="5"/>
      <c r="J1404" s="5"/>
    </row>
    <row r="1405" spans="1:10" ht="13.5" customHeight="1" x14ac:dyDescent="0.2">
      <c r="A1405" s="78">
        <v>43231507</v>
      </c>
      <c r="B1405" s="64" t="str">
        <f ca="1">IFERROR(INDEX(UNSPSCDes,MATCH(INDIRECT(ADDRESS(ROW(),COLUMN()-1,4)),UNSPSCCode,0)),"")</f>
        <v>Software de manejo de proyectos</v>
      </c>
      <c r="C1405" s="63" t="s">
        <v>1449</v>
      </c>
      <c r="D1405" s="63">
        <v>1</v>
      </c>
      <c r="E1405" s="66">
        <v>80000</v>
      </c>
      <c r="F1405" s="65">
        <f ca="1">INDIRECT(ADDRESS(ROW(),COLUMN()-2,4))*INDIRECT(ADDRESS(ROW(),COLUMN()-1,4))</f>
        <v>80000</v>
      </c>
      <c r="G1405" s="5"/>
      <c r="H1405" s="5"/>
      <c r="I1405" s="5"/>
      <c r="J1405" s="5"/>
    </row>
    <row r="1406" spans="1:10" ht="13.5" customHeight="1" x14ac:dyDescent="0.2">
      <c r="A1406" s="78">
        <v>43231505</v>
      </c>
      <c r="B1406" s="64" t="str">
        <f ca="1">IFERROR(INDEX(UNSPSCDes,MATCH(INDIRECT(ADDRESS(ROW(),COLUMN()-1,4)),UNSPSCCode,0)),"")</f>
        <v>Software de recursos humanos</v>
      </c>
      <c r="C1406" s="63" t="s">
        <v>1449</v>
      </c>
      <c r="D1406" s="63">
        <v>1</v>
      </c>
      <c r="E1406" s="66">
        <v>70000</v>
      </c>
      <c r="F1406" s="65">
        <f ca="1">INDIRECT(ADDRESS(ROW(),COLUMN()-2,4))*INDIRECT(ADDRESS(ROW(),COLUMN()-1,4))</f>
        <v>70000</v>
      </c>
      <c r="G1406" s="5"/>
      <c r="H1406" s="5"/>
      <c r="I1406" s="5"/>
      <c r="J1406" s="5"/>
    </row>
    <row r="1407" spans="1:10" ht="14.1" customHeight="1" x14ac:dyDescent="0.2">
      <c r="A1407" s="5"/>
      <c r="B1407" s="5"/>
      <c r="C1407" s="5"/>
      <c r="D1407" s="5"/>
      <c r="E1407" s="68" t="s">
        <v>12550</v>
      </c>
      <c r="F1407" s="69">
        <f ca="1">SUM(Table384[MONTO TOTAL ESTIMADO])</f>
        <v>150000</v>
      </c>
      <c r="G1407" s="5"/>
      <c r="H1407" s="5" t="str">
        <f>C1398</f>
        <v>Bienes</v>
      </c>
      <c r="I1407" s="5" t="str">
        <f>E1398</f>
        <v>No</v>
      </c>
      <c r="J1407" s="5" t="str">
        <f>D1398</f>
        <v>Compras Menores</v>
      </c>
    </row>
    <row r="1408" spans="1:10" ht="14.1" customHeight="1" thickBot="1" x14ac:dyDescent="0.3"/>
    <row r="1409" spans="1:10" ht="33.75" customHeight="1" thickBot="1" x14ac:dyDescent="0.25">
      <c r="A1409" s="59" t="s">
        <v>16382</v>
      </c>
      <c r="B1409" s="59" t="s">
        <v>161</v>
      </c>
      <c r="C1409" s="59" t="s">
        <v>11724</v>
      </c>
      <c r="D1409" s="59" t="s">
        <v>14378</v>
      </c>
      <c r="E1409" s="59" t="s">
        <v>10962</v>
      </c>
      <c r="F1409" s="59" t="s">
        <v>11095</v>
      </c>
      <c r="G1409" s="5"/>
      <c r="H1409" s="5"/>
      <c r="I1409" s="5"/>
      <c r="J1409" s="5"/>
    </row>
    <row r="1410" spans="1:10" ht="13.5" customHeight="1" thickBot="1" x14ac:dyDescent="0.25">
      <c r="A1410" s="77" t="s">
        <v>18877</v>
      </c>
      <c r="B1410" s="77" t="s">
        <v>18877</v>
      </c>
      <c r="C1410" s="61" t="s">
        <v>17797</v>
      </c>
      <c r="D1410" s="61" t="s">
        <v>17482</v>
      </c>
      <c r="E1410" s="61" t="s">
        <v>17853</v>
      </c>
      <c r="F1410" s="61"/>
      <c r="G1410" s="5"/>
      <c r="H1410" s="5"/>
      <c r="I1410" s="5"/>
      <c r="J1410" s="5"/>
    </row>
    <row r="1411" spans="1:10" ht="14.1" customHeight="1" thickBot="1" x14ac:dyDescent="0.25">
      <c r="A1411" s="82" t="s">
        <v>14828</v>
      </c>
      <c r="B1411" s="62" t="s">
        <v>8528</v>
      </c>
      <c r="C1411" s="71">
        <v>44105</v>
      </c>
      <c r="D1411" s="82" t="s">
        <v>9385</v>
      </c>
      <c r="E1411" s="62" t="s">
        <v>13093</v>
      </c>
      <c r="F1411" s="61" t="s">
        <v>3080</v>
      </c>
      <c r="G1411" s="5"/>
      <c r="H1411" s="5"/>
      <c r="I1411" s="5"/>
      <c r="J1411" s="5"/>
    </row>
    <row r="1412" spans="1:10" ht="14.1" customHeight="1" thickBot="1" x14ac:dyDescent="0.25">
      <c r="A1412" s="83"/>
      <c r="B1412" s="62" t="s">
        <v>1786</v>
      </c>
      <c r="C1412" s="60">
        <f>IF(C1411="","",IF(AND(MONTH(C1411)&gt;=1,MONTH(C1411)&lt;=3),1,IF(AND(MONTH(C1411)&gt;=4,MONTH(C1411)&lt;=6),2,IF(AND(MONTH(C1411)&gt;=7,MONTH(C1411)&lt;=9),3,4))))</f>
        <v>4</v>
      </c>
      <c r="D1412" s="83"/>
      <c r="E1412" s="62" t="s">
        <v>2417</v>
      </c>
      <c r="F1412" s="61" t="s">
        <v>11112</v>
      </c>
      <c r="G1412" s="5"/>
      <c r="H1412" s="5"/>
      <c r="I1412" s="5"/>
      <c r="J1412" s="5"/>
    </row>
    <row r="1413" spans="1:10" ht="14.1" customHeight="1" thickBot="1" x14ac:dyDescent="0.25">
      <c r="A1413" s="83"/>
      <c r="B1413" s="62" t="s">
        <v>12942</v>
      </c>
      <c r="C1413" s="71">
        <v>44196</v>
      </c>
      <c r="D1413" s="83"/>
      <c r="E1413" s="62" t="s">
        <v>3073</v>
      </c>
      <c r="F1413" s="61" t="s">
        <v>11112</v>
      </c>
      <c r="G1413" s="5"/>
      <c r="H1413" s="5"/>
      <c r="I1413" s="5"/>
      <c r="J1413" s="5"/>
    </row>
    <row r="1414" spans="1:10" ht="14.1" customHeight="1" thickBot="1" x14ac:dyDescent="0.25">
      <c r="A1414" s="83"/>
      <c r="B1414" s="62" t="s">
        <v>1786</v>
      </c>
      <c r="C1414" s="60">
        <f>IF(C1413="","",IF(AND(MONTH(C1413)&gt;=1,MONTH(C1413)&lt;=3),1,IF(AND(MONTH(C1413)&gt;=4,MONTH(C1413)&lt;=6),2,IF(AND(MONTH(C1413)&gt;=7,MONTH(C1413)&lt;=9),3,4))))</f>
        <v>4</v>
      </c>
      <c r="D1414" s="83"/>
      <c r="E1414" s="62" t="s">
        <v>13192</v>
      </c>
      <c r="F1414" s="61" t="s">
        <v>11112</v>
      </c>
      <c r="G1414" s="5"/>
      <c r="H1414" s="5"/>
      <c r="I1414" s="5"/>
      <c r="J1414" s="5"/>
    </row>
    <row r="1415" spans="1:10" ht="14.1" customHeight="1" thickBot="1" x14ac:dyDescent="0.25">
      <c r="A1415" s="5"/>
      <c r="B1415" s="5"/>
      <c r="C1415" s="5"/>
      <c r="D1415" s="5"/>
      <c r="E1415" s="5"/>
      <c r="F1415" s="5"/>
      <c r="G1415" s="5"/>
      <c r="H1415" s="5"/>
      <c r="I1415" s="5"/>
      <c r="J1415" s="5"/>
    </row>
    <row r="1416" spans="1:10" ht="14.1" customHeight="1" thickBot="1" x14ac:dyDescent="0.25">
      <c r="A1416" s="67" t="s">
        <v>15735</v>
      </c>
      <c r="B1416" s="67" t="s">
        <v>16146</v>
      </c>
      <c r="C1416" s="67" t="s">
        <v>15641</v>
      </c>
      <c r="D1416" s="67" t="s">
        <v>15251</v>
      </c>
      <c r="E1416" s="67" t="s">
        <v>6932</v>
      </c>
      <c r="F1416" s="67" t="s">
        <v>15280</v>
      </c>
      <c r="G1416" s="5"/>
      <c r="H1416" s="5"/>
      <c r="I1416" s="5"/>
      <c r="J1416" s="5"/>
    </row>
    <row r="1417" spans="1:10" ht="13.5" customHeight="1" x14ac:dyDescent="0.2">
      <c r="A1417" s="78">
        <v>43231507</v>
      </c>
      <c r="B1417" s="64" t="str">
        <f ca="1">IFERROR(INDEX(UNSPSCDes,MATCH(INDIRECT(ADDRESS(ROW(),COLUMN()-1,4)),UNSPSCCode,0)),"")</f>
        <v>Software de manejo de proyectos</v>
      </c>
      <c r="C1417" s="63" t="s">
        <v>1449</v>
      </c>
      <c r="D1417" s="63">
        <v>1</v>
      </c>
      <c r="E1417" s="66">
        <v>80000</v>
      </c>
      <c r="F1417" s="65">
        <f ca="1">INDIRECT(ADDRESS(ROW(),COLUMN()-2,4))*INDIRECT(ADDRESS(ROW(),COLUMN()-1,4))</f>
        <v>80000</v>
      </c>
      <c r="G1417" s="5"/>
      <c r="H1417" s="5"/>
      <c r="I1417" s="5"/>
      <c r="J1417" s="5"/>
    </row>
    <row r="1418" spans="1:10" ht="13.5" customHeight="1" x14ac:dyDescent="0.2">
      <c r="A1418" s="78">
        <v>43231505</v>
      </c>
      <c r="B1418" s="64" t="str">
        <f ca="1">IFERROR(INDEX(UNSPSCDes,MATCH(INDIRECT(ADDRESS(ROW(),COLUMN()-1,4)),UNSPSCCode,0)),"")</f>
        <v>Software de recursos humanos</v>
      </c>
      <c r="C1418" s="63" t="s">
        <v>1449</v>
      </c>
      <c r="D1418" s="63">
        <v>1</v>
      </c>
      <c r="E1418" s="66">
        <v>70000</v>
      </c>
      <c r="F1418" s="65">
        <f ca="1">INDIRECT(ADDRESS(ROW(),COLUMN()-2,4))*INDIRECT(ADDRESS(ROW(),COLUMN()-1,4))</f>
        <v>70000</v>
      </c>
      <c r="G1418" s="5"/>
      <c r="H1418" s="5"/>
      <c r="I1418" s="5"/>
      <c r="J1418" s="5"/>
    </row>
    <row r="1419" spans="1:10" ht="14.1" customHeight="1" x14ac:dyDescent="0.2">
      <c r="A1419" s="5"/>
      <c r="B1419" s="5"/>
      <c r="C1419" s="5"/>
      <c r="D1419" s="5"/>
      <c r="E1419" s="68" t="s">
        <v>12550</v>
      </c>
      <c r="F1419" s="69">
        <f ca="1">SUM(Table385[MONTO TOTAL ESTIMADO])</f>
        <v>150000</v>
      </c>
      <c r="G1419" s="5"/>
      <c r="H1419" s="5" t="str">
        <f>C1410</f>
        <v>Bienes</v>
      </c>
      <c r="I1419" s="5" t="str">
        <f>E1410</f>
        <v>No</v>
      </c>
      <c r="J1419" s="5" t="str">
        <f>D1410</f>
        <v>Compras Menores</v>
      </c>
    </row>
    <row r="1420" spans="1:10" ht="14.1" customHeight="1" thickBot="1" x14ac:dyDescent="0.3"/>
    <row r="1421" spans="1:10" ht="33.75" customHeight="1" thickBot="1" x14ac:dyDescent="0.25">
      <c r="A1421" s="59" t="s">
        <v>16382</v>
      </c>
      <c r="B1421" s="59" t="s">
        <v>161</v>
      </c>
      <c r="C1421" s="59" t="s">
        <v>11724</v>
      </c>
      <c r="D1421" s="59" t="s">
        <v>14378</v>
      </c>
      <c r="E1421" s="59" t="s">
        <v>10962</v>
      </c>
      <c r="F1421" s="59" t="s">
        <v>11095</v>
      </c>
      <c r="G1421" s="5"/>
      <c r="H1421" s="5"/>
      <c r="I1421" s="5"/>
      <c r="J1421" s="5"/>
    </row>
    <row r="1422" spans="1:10" ht="13.5" customHeight="1" thickBot="1" x14ac:dyDescent="0.25">
      <c r="A1422" s="77" t="s">
        <v>18878</v>
      </c>
      <c r="B1422" s="77" t="s">
        <v>18878</v>
      </c>
      <c r="C1422" s="61" t="s">
        <v>17797</v>
      </c>
      <c r="D1422" s="61" t="s">
        <v>10171</v>
      </c>
      <c r="E1422" s="61" t="s">
        <v>17853</v>
      </c>
      <c r="F1422" s="61"/>
      <c r="G1422" s="5"/>
      <c r="H1422" s="5"/>
      <c r="I1422" s="5"/>
      <c r="J1422" s="5"/>
    </row>
    <row r="1423" spans="1:10" ht="14.1" customHeight="1" thickBot="1" x14ac:dyDescent="0.25">
      <c r="A1423" s="82" t="s">
        <v>14828</v>
      </c>
      <c r="B1423" s="62" t="s">
        <v>8528</v>
      </c>
      <c r="C1423" s="71">
        <v>43831</v>
      </c>
      <c r="D1423" s="82" t="s">
        <v>9385</v>
      </c>
      <c r="E1423" s="62" t="s">
        <v>13093</v>
      </c>
      <c r="F1423" s="61" t="s">
        <v>3080</v>
      </c>
      <c r="G1423" s="5"/>
      <c r="H1423" s="5"/>
      <c r="I1423" s="5"/>
      <c r="J1423" s="5"/>
    </row>
    <row r="1424" spans="1:10" ht="14.1" customHeight="1" thickBot="1" x14ac:dyDescent="0.25">
      <c r="A1424" s="83"/>
      <c r="B1424" s="62" t="s">
        <v>1786</v>
      </c>
      <c r="C1424" s="60">
        <f>IF(C1423="","",IF(AND(MONTH(C1423)&gt;=1,MONTH(C1423)&lt;=3),1,IF(AND(MONTH(C1423)&gt;=4,MONTH(C1423)&lt;=6),2,IF(AND(MONTH(C1423)&gt;=7,MONTH(C1423)&lt;=9),3,4))))</f>
        <v>1</v>
      </c>
      <c r="D1424" s="83"/>
      <c r="E1424" s="62" t="s">
        <v>2417</v>
      </c>
      <c r="F1424" s="61" t="s">
        <v>11112</v>
      </c>
      <c r="G1424" s="5"/>
      <c r="H1424" s="5"/>
      <c r="I1424" s="5"/>
      <c r="J1424" s="5"/>
    </row>
    <row r="1425" spans="1:10" ht="14.1" customHeight="1" thickBot="1" x14ac:dyDescent="0.25">
      <c r="A1425" s="83"/>
      <c r="B1425" s="62" t="s">
        <v>12942</v>
      </c>
      <c r="C1425" s="71">
        <v>43921</v>
      </c>
      <c r="D1425" s="83"/>
      <c r="E1425" s="62" t="s">
        <v>3073</v>
      </c>
      <c r="F1425" s="61" t="s">
        <v>11112</v>
      </c>
      <c r="G1425" s="5"/>
      <c r="H1425" s="5"/>
      <c r="I1425" s="5"/>
      <c r="J1425" s="5"/>
    </row>
    <row r="1426" spans="1:10" ht="14.1" customHeight="1" thickBot="1" x14ac:dyDescent="0.25">
      <c r="A1426" s="83"/>
      <c r="B1426" s="62" t="s">
        <v>1786</v>
      </c>
      <c r="C1426" s="60">
        <f>IF(C1425="","",IF(AND(MONTH(C1425)&gt;=1,MONTH(C1425)&lt;=3),1,IF(AND(MONTH(C1425)&gt;=4,MONTH(C1425)&lt;=6),2,IF(AND(MONTH(C1425)&gt;=7,MONTH(C1425)&lt;=9),3,4))))</f>
        <v>1</v>
      </c>
      <c r="D1426" s="83"/>
      <c r="E1426" s="62" t="s">
        <v>13192</v>
      </c>
      <c r="F1426" s="61" t="s">
        <v>11112</v>
      </c>
      <c r="G1426" s="5"/>
      <c r="H1426" s="5"/>
      <c r="I1426" s="5"/>
      <c r="J1426" s="5"/>
    </row>
    <row r="1427" spans="1:10" ht="14.1" customHeight="1" thickBot="1" x14ac:dyDescent="0.25">
      <c r="A1427" s="5"/>
      <c r="B1427" s="5"/>
      <c r="C1427" s="5"/>
      <c r="D1427" s="5"/>
      <c r="E1427" s="5"/>
      <c r="F1427" s="5"/>
      <c r="G1427" s="5"/>
      <c r="H1427" s="5"/>
      <c r="I1427" s="5"/>
      <c r="J1427" s="5"/>
    </row>
    <row r="1428" spans="1:10" ht="14.1" customHeight="1" thickBot="1" x14ac:dyDescent="0.25">
      <c r="A1428" s="67" t="s">
        <v>15735</v>
      </c>
      <c r="B1428" s="67" t="s">
        <v>16146</v>
      </c>
      <c r="C1428" s="67" t="s">
        <v>15641</v>
      </c>
      <c r="D1428" s="67" t="s">
        <v>15251</v>
      </c>
      <c r="E1428" s="67" t="s">
        <v>6932</v>
      </c>
      <c r="F1428" s="67" t="s">
        <v>15280</v>
      </c>
      <c r="G1428" s="5"/>
      <c r="H1428" s="5"/>
      <c r="I1428" s="5"/>
      <c r="J1428" s="5"/>
    </row>
    <row r="1429" spans="1:10" ht="13.5" customHeight="1" x14ac:dyDescent="0.2">
      <c r="A1429" s="78">
        <v>43223205</v>
      </c>
      <c r="B1429" s="64" t="str">
        <f ca="1">IFERROR(INDEX(UNSPSCDes,MATCH(INDIRECT(ADDRESS(ROW(),COLUMN()-1,4)),UNSPSCCode,0)),"")</f>
        <v>Plataforma de mensajes instantáneos</v>
      </c>
      <c r="C1429" s="63" t="s">
        <v>1449</v>
      </c>
      <c r="D1429" s="63">
        <v>1</v>
      </c>
      <c r="E1429" s="66">
        <v>63000</v>
      </c>
      <c r="F1429" s="65">
        <f ca="1">INDIRECT(ADDRESS(ROW(),COLUMN()-2,4))*INDIRECT(ADDRESS(ROW(),COLUMN()-1,4))</f>
        <v>63000</v>
      </c>
      <c r="G1429" s="5"/>
      <c r="H1429" s="5"/>
      <c r="I1429" s="5"/>
      <c r="J1429" s="5"/>
    </row>
    <row r="1430" spans="1:10" ht="13.5" customHeight="1" x14ac:dyDescent="0.2">
      <c r="A1430" s="78">
        <v>43232406</v>
      </c>
      <c r="B1430" s="64" t="str">
        <f ca="1">IFERROR(INDEX(UNSPSCDes,MATCH(INDIRECT(ADDRESS(ROW(),COLUMN()-1,4)),UNSPSCCode,0)),"")</f>
        <v>Software de pruebas de programas</v>
      </c>
      <c r="C1430" s="63" t="s">
        <v>1449</v>
      </c>
      <c r="D1430" s="63">
        <v>1</v>
      </c>
      <c r="E1430" s="66">
        <v>62000</v>
      </c>
      <c r="F1430" s="65">
        <f ca="1">INDIRECT(ADDRESS(ROW(),COLUMN()-2,4))*INDIRECT(ADDRESS(ROW(),COLUMN()-1,4))</f>
        <v>62000</v>
      </c>
      <c r="G1430" s="5"/>
      <c r="H1430" s="5"/>
      <c r="I1430" s="5"/>
      <c r="J1430" s="5"/>
    </row>
    <row r="1431" spans="1:10" ht="14.1" customHeight="1" x14ac:dyDescent="0.2">
      <c r="A1431" s="5"/>
      <c r="B1431" s="5"/>
      <c r="C1431" s="5"/>
      <c r="D1431" s="5"/>
      <c r="E1431" s="68" t="s">
        <v>12550</v>
      </c>
      <c r="F1431" s="69">
        <f ca="1">SUM(Table386[MONTO TOTAL ESTIMADO])</f>
        <v>125000</v>
      </c>
      <c r="G1431" s="5"/>
      <c r="H1431" s="5" t="str">
        <f>C1422</f>
        <v>Bienes</v>
      </c>
      <c r="I1431" s="5" t="str">
        <f>E1422</f>
        <v>No</v>
      </c>
      <c r="J1431" s="5" t="str">
        <f>D1422</f>
        <v>Compras por debajo del Umbral</v>
      </c>
    </row>
    <row r="1432" spans="1:10" ht="14.1" customHeight="1" thickBot="1" x14ac:dyDescent="0.3"/>
    <row r="1433" spans="1:10" ht="33.75" customHeight="1" thickBot="1" x14ac:dyDescent="0.25">
      <c r="A1433" s="59" t="s">
        <v>16382</v>
      </c>
      <c r="B1433" s="59" t="s">
        <v>161</v>
      </c>
      <c r="C1433" s="59" t="s">
        <v>11724</v>
      </c>
      <c r="D1433" s="59" t="s">
        <v>14378</v>
      </c>
      <c r="E1433" s="59" t="s">
        <v>10962</v>
      </c>
      <c r="F1433" s="59" t="s">
        <v>11095</v>
      </c>
      <c r="G1433" s="5"/>
      <c r="H1433" s="5"/>
      <c r="I1433" s="5"/>
      <c r="J1433" s="5"/>
    </row>
    <row r="1434" spans="1:10" ht="13.5" customHeight="1" thickBot="1" x14ac:dyDescent="0.25">
      <c r="A1434" s="77" t="s">
        <v>18878</v>
      </c>
      <c r="B1434" s="77" t="s">
        <v>18878</v>
      </c>
      <c r="C1434" s="61" t="s">
        <v>17797</v>
      </c>
      <c r="D1434" s="61" t="s">
        <v>10171</v>
      </c>
      <c r="E1434" s="61" t="s">
        <v>17853</v>
      </c>
      <c r="F1434" s="61"/>
      <c r="G1434" s="5"/>
      <c r="H1434" s="5"/>
      <c r="I1434" s="5"/>
      <c r="J1434" s="5"/>
    </row>
    <row r="1435" spans="1:10" ht="14.1" customHeight="1" thickBot="1" x14ac:dyDescent="0.25">
      <c r="A1435" s="82" t="s">
        <v>14828</v>
      </c>
      <c r="B1435" s="62" t="s">
        <v>8528</v>
      </c>
      <c r="C1435" s="71">
        <v>43922</v>
      </c>
      <c r="D1435" s="82" t="s">
        <v>9385</v>
      </c>
      <c r="E1435" s="62" t="s">
        <v>13093</v>
      </c>
      <c r="F1435" s="61" t="s">
        <v>3080</v>
      </c>
      <c r="G1435" s="5"/>
      <c r="H1435" s="5"/>
      <c r="I1435" s="5"/>
      <c r="J1435" s="5"/>
    </row>
    <row r="1436" spans="1:10" ht="14.1" customHeight="1" thickBot="1" x14ac:dyDescent="0.25">
      <c r="A1436" s="83"/>
      <c r="B1436" s="62" t="s">
        <v>1786</v>
      </c>
      <c r="C1436" s="60">
        <f>IF(C1435="","",IF(AND(MONTH(C1435)&gt;=1,MONTH(C1435)&lt;=3),1,IF(AND(MONTH(C1435)&gt;=4,MONTH(C1435)&lt;=6),2,IF(AND(MONTH(C1435)&gt;=7,MONTH(C1435)&lt;=9),3,4))))</f>
        <v>2</v>
      </c>
      <c r="D1436" s="83"/>
      <c r="E1436" s="62" t="s">
        <v>2417</v>
      </c>
      <c r="F1436" s="61" t="s">
        <v>11112</v>
      </c>
      <c r="G1436" s="5"/>
      <c r="H1436" s="5"/>
      <c r="I1436" s="5"/>
      <c r="J1436" s="5"/>
    </row>
    <row r="1437" spans="1:10" ht="14.1" customHeight="1" thickBot="1" x14ac:dyDescent="0.25">
      <c r="A1437" s="83"/>
      <c r="B1437" s="62" t="s">
        <v>12942</v>
      </c>
      <c r="C1437" s="71">
        <v>44012</v>
      </c>
      <c r="D1437" s="83"/>
      <c r="E1437" s="62" t="s">
        <v>3073</v>
      </c>
      <c r="F1437" s="61" t="s">
        <v>11112</v>
      </c>
      <c r="G1437" s="5"/>
      <c r="H1437" s="5"/>
      <c r="I1437" s="5"/>
      <c r="J1437" s="5"/>
    </row>
    <row r="1438" spans="1:10" ht="14.1" customHeight="1" thickBot="1" x14ac:dyDescent="0.25">
      <c r="A1438" s="83"/>
      <c r="B1438" s="62" t="s">
        <v>1786</v>
      </c>
      <c r="C1438" s="60">
        <f>IF(C1437="","",IF(AND(MONTH(C1437)&gt;=1,MONTH(C1437)&lt;=3),1,IF(AND(MONTH(C1437)&gt;=4,MONTH(C1437)&lt;=6),2,IF(AND(MONTH(C1437)&gt;=7,MONTH(C1437)&lt;=9),3,4))))</f>
        <v>2</v>
      </c>
      <c r="D1438" s="83"/>
      <c r="E1438" s="62" t="s">
        <v>13192</v>
      </c>
      <c r="F1438" s="61" t="s">
        <v>11112</v>
      </c>
      <c r="G1438" s="5"/>
      <c r="H1438" s="5"/>
      <c r="I1438" s="5"/>
      <c r="J1438" s="5"/>
    </row>
    <row r="1439" spans="1:10" ht="14.1" customHeight="1" thickBot="1" x14ac:dyDescent="0.25">
      <c r="A1439" s="5"/>
      <c r="B1439" s="5"/>
      <c r="C1439" s="5"/>
      <c r="D1439" s="5"/>
      <c r="E1439" s="5"/>
      <c r="F1439" s="5"/>
      <c r="G1439" s="5"/>
      <c r="H1439" s="5"/>
      <c r="I1439" s="5"/>
      <c r="J1439" s="5"/>
    </row>
    <row r="1440" spans="1:10" ht="14.1" customHeight="1" thickBot="1" x14ac:dyDescent="0.25">
      <c r="A1440" s="67" t="s">
        <v>15735</v>
      </c>
      <c r="B1440" s="67" t="s">
        <v>16146</v>
      </c>
      <c r="C1440" s="67" t="s">
        <v>15641</v>
      </c>
      <c r="D1440" s="67" t="s">
        <v>15251</v>
      </c>
      <c r="E1440" s="67" t="s">
        <v>6932</v>
      </c>
      <c r="F1440" s="67" t="s">
        <v>15280</v>
      </c>
      <c r="G1440" s="5"/>
      <c r="H1440" s="5"/>
      <c r="I1440" s="5"/>
      <c r="J1440" s="5"/>
    </row>
    <row r="1441" spans="1:10" ht="13.5" customHeight="1" x14ac:dyDescent="0.2">
      <c r="A1441" s="78">
        <v>43223205</v>
      </c>
      <c r="B1441" s="64" t="str">
        <f ca="1">IFERROR(INDEX(UNSPSCDes,MATCH(INDIRECT(ADDRESS(ROW(),COLUMN()-1,4)),UNSPSCCode,0)),"")</f>
        <v>Plataforma de mensajes instantáneos</v>
      </c>
      <c r="C1441" s="63" t="s">
        <v>1449</v>
      </c>
      <c r="D1441" s="63">
        <v>1</v>
      </c>
      <c r="E1441" s="66">
        <v>63000</v>
      </c>
      <c r="F1441" s="65">
        <f ca="1">INDIRECT(ADDRESS(ROW(),COLUMN()-2,4))*INDIRECT(ADDRESS(ROW(),COLUMN()-1,4))</f>
        <v>63000</v>
      </c>
      <c r="G1441" s="5"/>
      <c r="H1441" s="5"/>
      <c r="I1441" s="5"/>
      <c r="J1441" s="5"/>
    </row>
    <row r="1442" spans="1:10" ht="13.5" customHeight="1" x14ac:dyDescent="0.2">
      <c r="A1442" s="78">
        <v>43232406</v>
      </c>
      <c r="B1442" s="64" t="str">
        <f ca="1">IFERROR(INDEX(UNSPSCDes,MATCH(INDIRECT(ADDRESS(ROW(),COLUMN()-1,4)),UNSPSCCode,0)),"")</f>
        <v>Software de pruebas de programas</v>
      </c>
      <c r="C1442" s="63" t="s">
        <v>1449</v>
      </c>
      <c r="D1442" s="63">
        <v>1</v>
      </c>
      <c r="E1442" s="66">
        <v>62000</v>
      </c>
      <c r="F1442" s="65">
        <f ca="1">INDIRECT(ADDRESS(ROW(),COLUMN()-2,4))*INDIRECT(ADDRESS(ROW(),COLUMN()-1,4))</f>
        <v>62000</v>
      </c>
      <c r="G1442" s="5"/>
      <c r="H1442" s="5"/>
      <c r="I1442" s="5"/>
      <c r="J1442" s="5"/>
    </row>
    <row r="1443" spans="1:10" ht="14.1" customHeight="1" x14ac:dyDescent="0.2">
      <c r="A1443" s="5"/>
      <c r="B1443" s="5"/>
      <c r="C1443" s="5"/>
      <c r="D1443" s="5"/>
      <c r="E1443" s="68" t="s">
        <v>12550</v>
      </c>
      <c r="F1443" s="69">
        <f ca="1">SUM(Table387[MONTO TOTAL ESTIMADO])</f>
        <v>125000</v>
      </c>
      <c r="G1443" s="5"/>
      <c r="H1443" s="5" t="str">
        <f>C1434</f>
        <v>Bienes</v>
      </c>
      <c r="I1443" s="5" t="str">
        <f>E1434</f>
        <v>No</v>
      </c>
      <c r="J1443" s="5" t="str">
        <f>D1434</f>
        <v>Compras por debajo del Umbral</v>
      </c>
    </row>
    <row r="1444" spans="1:10" ht="14.1" customHeight="1" thickBot="1" x14ac:dyDescent="0.3"/>
    <row r="1445" spans="1:10" ht="33.75" customHeight="1" thickBot="1" x14ac:dyDescent="0.25">
      <c r="A1445" s="59" t="s">
        <v>16382</v>
      </c>
      <c r="B1445" s="59" t="s">
        <v>161</v>
      </c>
      <c r="C1445" s="59" t="s">
        <v>11724</v>
      </c>
      <c r="D1445" s="59" t="s">
        <v>14378</v>
      </c>
      <c r="E1445" s="59" t="s">
        <v>10962</v>
      </c>
      <c r="F1445" s="59" t="s">
        <v>11095</v>
      </c>
      <c r="G1445" s="5"/>
      <c r="H1445" s="5"/>
      <c r="I1445" s="5"/>
      <c r="J1445" s="5"/>
    </row>
    <row r="1446" spans="1:10" ht="13.5" customHeight="1" thickBot="1" x14ac:dyDescent="0.25">
      <c r="A1446" s="77" t="s">
        <v>18878</v>
      </c>
      <c r="B1446" s="77" t="s">
        <v>18878</v>
      </c>
      <c r="C1446" s="61" t="s">
        <v>17797</v>
      </c>
      <c r="D1446" s="61" t="s">
        <v>10171</v>
      </c>
      <c r="E1446" s="61" t="s">
        <v>17853</v>
      </c>
      <c r="F1446" s="61"/>
      <c r="G1446" s="5"/>
      <c r="H1446" s="5"/>
      <c r="I1446" s="5"/>
      <c r="J1446" s="5"/>
    </row>
    <row r="1447" spans="1:10" ht="14.1" customHeight="1" thickBot="1" x14ac:dyDescent="0.25">
      <c r="A1447" s="82" t="s">
        <v>14828</v>
      </c>
      <c r="B1447" s="62" t="s">
        <v>8528</v>
      </c>
      <c r="C1447" s="71">
        <v>44013</v>
      </c>
      <c r="D1447" s="82" t="s">
        <v>9385</v>
      </c>
      <c r="E1447" s="62" t="s">
        <v>13093</v>
      </c>
      <c r="F1447" s="61" t="s">
        <v>3080</v>
      </c>
      <c r="G1447" s="5"/>
      <c r="H1447" s="5"/>
      <c r="I1447" s="5"/>
      <c r="J1447" s="5"/>
    </row>
    <row r="1448" spans="1:10" ht="14.1" customHeight="1" thickBot="1" x14ac:dyDescent="0.25">
      <c r="A1448" s="83"/>
      <c r="B1448" s="62" t="s">
        <v>1786</v>
      </c>
      <c r="C1448" s="60">
        <f>IF(C1447="","",IF(AND(MONTH(C1447)&gt;=1,MONTH(C1447)&lt;=3),1,IF(AND(MONTH(C1447)&gt;=4,MONTH(C1447)&lt;=6),2,IF(AND(MONTH(C1447)&gt;=7,MONTH(C1447)&lt;=9),3,4))))</f>
        <v>3</v>
      </c>
      <c r="D1448" s="83"/>
      <c r="E1448" s="62" t="s">
        <v>2417</v>
      </c>
      <c r="F1448" s="61" t="s">
        <v>11112</v>
      </c>
      <c r="G1448" s="5"/>
      <c r="H1448" s="5"/>
      <c r="I1448" s="5"/>
      <c r="J1448" s="5"/>
    </row>
    <row r="1449" spans="1:10" ht="14.1" customHeight="1" thickBot="1" x14ac:dyDescent="0.25">
      <c r="A1449" s="83"/>
      <c r="B1449" s="62" t="s">
        <v>12942</v>
      </c>
      <c r="C1449" s="71">
        <v>44104</v>
      </c>
      <c r="D1449" s="83"/>
      <c r="E1449" s="62" t="s">
        <v>3073</v>
      </c>
      <c r="F1449" s="61" t="s">
        <v>11112</v>
      </c>
      <c r="G1449" s="5"/>
      <c r="H1449" s="5"/>
      <c r="I1449" s="5"/>
      <c r="J1449" s="5"/>
    </row>
    <row r="1450" spans="1:10" ht="14.1" customHeight="1" thickBot="1" x14ac:dyDescent="0.25">
      <c r="A1450" s="83"/>
      <c r="B1450" s="62" t="s">
        <v>1786</v>
      </c>
      <c r="C1450" s="60">
        <f>IF(C1449="","",IF(AND(MONTH(C1449)&gt;=1,MONTH(C1449)&lt;=3),1,IF(AND(MONTH(C1449)&gt;=4,MONTH(C1449)&lt;=6),2,IF(AND(MONTH(C1449)&gt;=7,MONTH(C1449)&lt;=9),3,4))))</f>
        <v>3</v>
      </c>
      <c r="D1450" s="83"/>
      <c r="E1450" s="62" t="s">
        <v>13192</v>
      </c>
      <c r="F1450" s="61" t="s">
        <v>11112</v>
      </c>
      <c r="G1450" s="5"/>
      <c r="H1450" s="5"/>
      <c r="I1450" s="5"/>
      <c r="J1450" s="5"/>
    </row>
    <row r="1451" spans="1:10" ht="14.1" customHeight="1" thickBot="1" x14ac:dyDescent="0.25">
      <c r="A1451" s="5"/>
      <c r="B1451" s="5"/>
      <c r="C1451" s="5"/>
      <c r="D1451" s="5"/>
      <c r="E1451" s="5"/>
      <c r="F1451" s="5"/>
      <c r="G1451" s="5"/>
      <c r="H1451" s="5"/>
      <c r="I1451" s="5"/>
      <c r="J1451" s="5"/>
    </row>
    <row r="1452" spans="1:10" ht="14.1" customHeight="1" thickBot="1" x14ac:dyDescent="0.25">
      <c r="A1452" s="67" t="s">
        <v>15735</v>
      </c>
      <c r="B1452" s="67" t="s">
        <v>16146</v>
      </c>
      <c r="C1452" s="67" t="s">
        <v>15641</v>
      </c>
      <c r="D1452" s="67" t="s">
        <v>15251</v>
      </c>
      <c r="E1452" s="67" t="s">
        <v>6932</v>
      </c>
      <c r="F1452" s="67" t="s">
        <v>15280</v>
      </c>
      <c r="G1452" s="5"/>
      <c r="H1452" s="5"/>
      <c r="I1452" s="5"/>
      <c r="J1452" s="5"/>
    </row>
    <row r="1453" spans="1:10" ht="13.5" customHeight="1" x14ac:dyDescent="0.2">
      <c r="A1453" s="78">
        <v>43223205</v>
      </c>
      <c r="B1453" s="64" t="str">
        <f ca="1">IFERROR(INDEX(UNSPSCDes,MATCH(INDIRECT(ADDRESS(ROW(),COLUMN()-1,4)),UNSPSCCode,0)),"")</f>
        <v>Plataforma de mensajes instantáneos</v>
      </c>
      <c r="C1453" s="63" t="s">
        <v>1449</v>
      </c>
      <c r="D1453" s="63">
        <v>1</v>
      </c>
      <c r="E1453" s="66">
        <v>63000</v>
      </c>
      <c r="F1453" s="65">
        <f ca="1">INDIRECT(ADDRESS(ROW(),COLUMN()-2,4))*INDIRECT(ADDRESS(ROW(),COLUMN()-1,4))</f>
        <v>63000</v>
      </c>
      <c r="G1453" s="5"/>
      <c r="H1453" s="5"/>
      <c r="I1453" s="5"/>
      <c r="J1453" s="5"/>
    </row>
    <row r="1454" spans="1:10" ht="13.5" customHeight="1" x14ac:dyDescent="0.2">
      <c r="A1454" s="78">
        <v>43232406</v>
      </c>
      <c r="B1454" s="64" t="str">
        <f ca="1">IFERROR(INDEX(UNSPSCDes,MATCH(INDIRECT(ADDRESS(ROW(),COLUMN()-1,4)),UNSPSCCode,0)),"")</f>
        <v>Software de pruebas de programas</v>
      </c>
      <c r="C1454" s="63" t="s">
        <v>1449</v>
      </c>
      <c r="D1454" s="63">
        <v>1</v>
      </c>
      <c r="E1454" s="66">
        <v>62000</v>
      </c>
      <c r="F1454" s="65">
        <f ca="1">INDIRECT(ADDRESS(ROW(),COLUMN()-2,4))*INDIRECT(ADDRESS(ROW(),COLUMN()-1,4))</f>
        <v>62000</v>
      </c>
      <c r="G1454" s="5"/>
      <c r="H1454" s="5"/>
      <c r="I1454" s="5"/>
      <c r="J1454" s="5"/>
    </row>
    <row r="1455" spans="1:10" ht="14.1" customHeight="1" x14ac:dyDescent="0.2">
      <c r="A1455" s="5"/>
      <c r="B1455" s="5"/>
      <c r="C1455" s="5"/>
      <c r="D1455" s="5"/>
      <c r="E1455" s="68" t="s">
        <v>12550</v>
      </c>
      <c r="F1455" s="69">
        <f ca="1">SUM(Table388[MONTO TOTAL ESTIMADO])</f>
        <v>125000</v>
      </c>
      <c r="G1455" s="5"/>
      <c r="H1455" s="5" t="str">
        <f>C1446</f>
        <v>Bienes</v>
      </c>
      <c r="I1455" s="5" t="str">
        <f>E1446</f>
        <v>No</v>
      </c>
      <c r="J1455" s="5" t="str">
        <f>D1446</f>
        <v>Compras por debajo del Umbral</v>
      </c>
    </row>
    <row r="1456" spans="1:10" ht="14.1" customHeight="1" thickBot="1" x14ac:dyDescent="0.3"/>
    <row r="1457" spans="1:10" ht="33.75" customHeight="1" thickBot="1" x14ac:dyDescent="0.25">
      <c r="A1457" s="59" t="s">
        <v>16382</v>
      </c>
      <c r="B1457" s="59" t="s">
        <v>161</v>
      </c>
      <c r="C1457" s="59" t="s">
        <v>11724</v>
      </c>
      <c r="D1457" s="59" t="s">
        <v>14378</v>
      </c>
      <c r="E1457" s="59" t="s">
        <v>10962</v>
      </c>
      <c r="F1457" s="59" t="s">
        <v>11095</v>
      </c>
      <c r="G1457" s="5"/>
      <c r="H1457" s="5"/>
      <c r="I1457" s="5"/>
      <c r="J1457" s="5"/>
    </row>
    <row r="1458" spans="1:10" ht="13.5" customHeight="1" thickBot="1" x14ac:dyDescent="0.25">
      <c r="A1458" s="77" t="s">
        <v>18878</v>
      </c>
      <c r="B1458" s="77" t="s">
        <v>18878</v>
      </c>
      <c r="C1458" s="61" t="s">
        <v>17797</v>
      </c>
      <c r="D1458" s="61" t="s">
        <v>10171</v>
      </c>
      <c r="E1458" s="61" t="s">
        <v>17853</v>
      </c>
      <c r="F1458" s="61"/>
      <c r="G1458" s="5"/>
      <c r="H1458" s="5"/>
      <c r="I1458" s="5"/>
      <c r="J1458" s="5"/>
    </row>
    <row r="1459" spans="1:10" ht="14.1" customHeight="1" thickBot="1" x14ac:dyDescent="0.25">
      <c r="A1459" s="82" t="s">
        <v>14828</v>
      </c>
      <c r="B1459" s="62" t="s">
        <v>8528</v>
      </c>
      <c r="C1459" s="71">
        <v>44105</v>
      </c>
      <c r="D1459" s="82" t="s">
        <v>9385</v>
      </c>
      <c r="E1459" s="62" t="s">
        <v>13093</v>
      </c>
      <c r="F1459" s="61" t="s">
        <v>3080</v>
      </c>
      <c r="G1459" s="5"/>
      <c r="H1459" s="5"/>
      <c r="I1459" s="5"/>
      <c r="J1459" s="5"/>
    </row>
    <row r="1460" spans="1:10" ht="14.1" customHeight="1" thickBot="1" x14ac:dyDescent="0.25">
      <c r="A1460" s="83"/>
      <c r="B1460" s="62" t="s">
        <v>1786</v>
      </c>
      <c r="C1460" s="60">
        <f>IF(C1459="","",IF(AND(MONTH(C1459)&gt;=1,MONTH(C1459)&lt;=3),1,IF(AND(MONTH(C1459)&gt;=4,MONTH(C1459)&lt;=6),2,IF(AND(MONTH(C1459)&gt;=7,MONTH(C1459)&lt;=9),3,4))))</f>
        <v>4</v>
      </c>
      <c r="D1460" s="83"/>
      <c r="E1460" s="62" t="s">
        <v>2417</v>
      </c>
      <c r="F1460" s="61" t="s">
        <v>11112</v>
      </c>
      <c r="G1460" s="5"/>
      <c r="H1460" s="5"/>
      <c r="I1460" s="5"/>
      <c r="J1460" s="5"/>
    </row>
    <row r="1461" spans="1:10" ht="14.1" customHeight="1" thickBot="1" x14ac:dyDescent="0.25">
      <c r="A1461" s="83"/>
      <c r="B1461" s="62" t="s">
        <v>12942</v>
      </c>
      <c r="C1461" s="71">
        <v>44196</v>
      </c>
      <c r="D1461" s="83"/>
      <c r="E1461" s="62" t="s">
        <v>3073</v>
      </c>
      <c r="F1461" s="61" t="s">
        <v>11112</v>
      </c>
      <c r="G1461" s="5"/>
      <c r="H1461" s="5"/>
      <c r="I1461" s="5"/>
      <c r="J1461" s="5"/>
    </row>
    <row r="1462" spans="1:10" ht="14.1" customHeight="1" thickBot="1" x14ac:dyDescent="0.25">
      <c r="A1462" s="83"/>
      <c r="B1462" s="62" t="s">
        <v>1786</v>
      </c>
      <c r="C1462" s="60">
        <f>IF(C1461="","",IF(AND(MONTH(C1461)&gt;=1,MONTH(C1461)&lt;=3),1,IF(AND(MONTH(C1461)&gt;=4,MONTH(C1461)&lt;=6),2,IF(AND(MONTH(C1461)&gt;=7,MONTH(C1461)&lt;=9),3,4))))</f>
        <v>4</v>
      </c>
      <c r="D1462" s="83"/>
      <c r="E1462" s="62" t="s">
        <v>13192</v>
      </c>
      <c r="F1462" s="61" t="s">
        <v>11112</v>
      </c>
      <c r="G1462" s="5"/>
      <c r="H1462" s="5"/>
      <c r="I1462" s="5"/>
      <c r="J1462" s="5"/>
    </row>
    <row r="1463" spans="1:10" ht="14.1" customHeight="1" thickBot="1" x14ac:dyDescent="0.25">
      <c r="A1463" s="5"/>
      <c r="B1463" s="5"/>
      <c r="C1463" s="5"/>
      <c r="D1463" s="5"/>
      <c r="E1463" s="5"/>
      <c r="F1463" s="5"/>
      <c r="G1463" s="5"/>
      <c r="H1463" s="5"/>
      <c r="I1463" s="5"/>
      <c r="J1463" s="5"/>
    </row>
    <row r="1464" spans="1:10" ht="14.1" customHeight="1" thickBot="1" x14ac:dyDescent="0.25">
      <c r="A1464" s="67" t="s">
        <v>15735</v>
      </c>
      <c r="B1464" s="67" t="s">
        <v>16146</v>
      </c>
      <c r="C1464" s="67" t="s">
        <v>15641</v>
      </c>
      <c r="D1464" s="67" t="s">
        <v>15251</v>
      </c>
      <c r="E1464" s="67" t="s">
        <v>6932</v>
      </c>
      <c r="F1464" s="67" t="s">
        <v>15280</v>
      </c>
      <c r="G1464" s="5"/>
      <c r="H1464" s="5"/>
      <c r="I1464" s="5"/>
      <c r="J1464" s="5"/>
    </row>
    <row r="1465" spans="1:10" ht="13.5" customHeight="1" x14ac:dyDescent="0.2">
      <c r="A1465" s="78">
        <v>43223205</v>
      </c>
      <c r="B1465" s="64" t="str">
        <f ca="1">IFERROR(INDEX(UNSPSCDes,MATCH(INDIRECT(ADDRESS(ROW(),COLUMN()-1,4)),UNSPSCCode,0)),"")</f>
        <v>Plataforma de mensajes instantáneos</v>
      </c>
      <c r="C1465" s="63" t="s">
        <v>1449</v>
      </c>
      <c r="D1465" s="63">
        <v>1</v>
      </c>
      <c r="E1465" s="66">
        <v>63000</v>
      </c>
      <c r="F1465" s="65">
        <f ca="1">INDIRECT(ADDRESS(ROW(),COLUMN()-2,4))*INDIRECT(ADDRESS(ROW(),COLUMN()-1,4))</f>
        <v>63000</v>
      </c>
      <c r="G1465" s="5"/>
      <c r="H1465" s="5"/>
      <c r="I1465" s="5"/>
      <c r="J1465" s="5"/>
    </row>
    <row r="1466" spans="1:10" ht="13.5" customHeight="1" x14ac:dyDescent="0.2">
      <c r="A1466" s="78">
        <v>43232406</v>
      </c>
      <c r="B1466" s="64" t="str">
        <f ca="1">IFERROR(INDEX(UNSPSCDes,MATCH(INDIRECT(ADDRESS(ROW(),COLUMN()-1,4)),UNSPSCCode,0)),"")</f>
        <v>Software de pruebas de programas</v>
      </c>
      <c r="C1466" s="63" t="s">
        <v>1449</v>
      </c>
      <c r="D1466" s="63">
        <v>1</v>
      </c>
      <c r="E1466" s="66">
        <v>62000</v>
      </c>
      <c r="F1466" s="65">
        <f ca="1">INDIRECT(ADDRESS(ROW(),COLUMN()-2,4))*INDIRECT(ADDRESS(ROW(),COLUMN()-1,4))</f>
        <v>62000</v>
      </c>
      <c r="G1466" s="5"/>
      <c r="H1466" s="5"/>
      <c r="I1466" s="5"/>
      <c r="J1466" s="5"/>
    </row>
    <row r="1467" spans="1:10" ht="14.1" customHeight="1" x14ac:dyDescent="0.2">
      <c r="A1467" s="5"/>
      <c r="B1467" s="5"/>
      <c r="C1467" s="5"/>
      <c r="D1467" s="5"/>
      <c r="E1467" s="68" t="s">
        <v>12550</v>
      </c>
      <c r="F1467" s="69">
        <f ca="1">SUM(Table389[MONTO TOTAL ESTIMADO])</f>
        <v>125000</v>
      </c>
      <c r="G1467" s="5"/>
      <c r="H1467" s="5" t="str">
        <f>C1458</f>
        <v>Bienes</v>
      </c>
      <c r="I1467" s="5" t="str">
        <f>E1458</f>
        <v>No</v>
      </c>
      <c r="J1467" s="5" t="str">
        <f>D1458</f>
        <v>Compras por debajo del Umbral</v>
      </c>
    </row>
    <row r="1468" spans="1:10" ht="14.1" customHeight="1" thickBot="1" x14ac:dyDescent="0.3"/>
    <row r="1469" spans="1:10" ht="33.75" customHeight="1" thickBot="1" x14ac:dyDescent="0.25">
      <c r="A1469" s="59" t="s">
        <v>16382</v>
      </c>
      <c r="B1469" s="59" t="s">
        <v>161</v>
      </c>
      <c r="C1469" s="59" t="s">
        <v>11724</v>
      </c>
      <c r="D1469" s="59" t="s">
        <v>14378</v>
      </c>
      <c r="E1469" s="59" t="s">
        <v>10962</v>
      </c>
      <c r="F1469" s="59" t="s">
        <v>11095</v>
      </c>
      <c r="G1469" s="5"/>
      <c r="H1469" s="5"/>
      <c r="I1469" s="5"/>
      <c r="J1469" s="5"/>
    </row>
    <row r="1470" spans="1:10" ht="13.5" customHeight="1" thickBot="1" x14ac:dyDescent="0.25">
      <c r="A1470" s="77" t="s">
        <v>18880</v>
      </c>
      <c r="B1470" s="77" t="s">
        <v>18879</v>
      </c>
      <c r="C1470" s="61" t="s">
        <v>6798</v>
      </c>
      <c r="D1470" s="61" t="s">
        <v>10171</v>
      </c>
      <c r="E1470" s="61" t="s">
        <v>8854</v>
      </c>
      <c r="F1470" s="61"/>
      <c r="G1470" s="5"/>
      <c r="H1470" s="5"/>
      <c r="I1470" s="5"/>
      <c r="J1470" s="5"/>
    </row>
    <row r="1471" spans="1:10" ht="14.1" customHeight="1" thickBot="1" x14ac:dyDescent="0.25">
      <c r="A1471" s="82" t="s">
        <v>14828</v>
      </c>
      <c r="B1471" s="62" t="s">
        <v>8528</v>
      </c>
      <c r="C1471" s="71">
        <v>43831</v>
      </c>
      <c r="D1471" s="82" t="s">
        <v>9385</v>
      </c>
      <c r="E1471" s="62" t="s">
        <v>13093</v>
      </c>
      <c r="F1471" s="61" t="s">
        <v>3080</v>
      </c>
      <c r="G1471" s="5"/>
      <c r="H1471" s="5"/>
      <c r="I1471" s="5"/>
      <c r="J1471" s="5"/>
    </row>
    <row r="1472" spans="1:10" ht="14.1" customHeight="1" thickBot="1" x14ac:dyDescent="0.25">
      <c r="A1472" s="83"/>
      <c r="B1472" s="62" t="s">
        <v>1786</v>
      </c>
      <c r="C1472" s="60">
        <f>IF(C1471="","",IF(AND(MONTH(C1471)&gt;=1,MONTH(C1471)&lt;=3),1,IF(AND(MONTH(C1471)&gt;=4,MONTH(C1471)&lt;=6),2,IF(AND(MONTH(C1471)&gt;=7,MONTH(C1471)&lt;=9),3,4))))</f>
        <v>1</v>
      </c>
      <c r="D1472" s="83"/>
      <c r="E1472" s="62" t="s">
        <v>2417</v>
      </c>
      <c r="F1472" s="61" t="s">
        <v>11112</v>
      </c>
      <c r="G1472" s="5"/>
      <c r="H1472" s="5"/>
      <c r="I1472" s="5"/>
      <c r="J1472" s="5"/>
    </row>
    <row r="1473" spans="1:10" ht="14.1" customHeight="1" thickBot="1" x14ac:dyDescent="0.25">
      <c r="A1473" s="83"/>
      <c r="B1473" s="62" t="s">
        <v>12942</v>
      </c>
      <c r="C1473" s="71">
        <v>43921</v>
      </c>
      <c r="D1473" s="83"/>
      <c r="E1473" s="62" t="s">
        <v>3073</v>
      </c>
      <c r="F1473" s="61" t="s">
        <v>11112</v>
      </c>
      <c r="G1473" s="5"/>
      <c r="H1473" s="5"/>
      <c r="I1473" s="5"/>
      <c r="J1473" s="5"/>
    </row>
    <row r="1474" spans="1:10" ht="14.1" customHeight="1" thickBot="1" x14ac:dyDescent="0.25">
      <c r="A1474" s="83"/>
      <c r="B1474" s="62" t="s">
        <v>1786</v>
      </c>
      <c r="C1474" s="60">
        <f>IF(C1473="","",IF(AND(MONTH(C1473)&gt;=1,MONTH(C1473)&lt;=3),1,IF(AND(MONTH(C1473)&gt;=4,MONTH(C1473)&lt;=6),2,IF(AND(MONTH(C1473)&gt;=7,MONTH(C1473)&lt;=9),3,4))))</f>
        <v>1</v>
      </c>
      <c r="D1474" s="83"/>
      <c r="E1474" s="62" t="s">
        <v>13192</v>
      </c>
      <c r="F1474" s="61" t="s">
        <v>11112</v>
      </c>
      <c r="G1474" s="5"/>
      <c r="H1474" s="5"/>
      <c r="I1474" s="5"/>
      <c r="J1474" s="5"/>
    </row>
    <row r="1475" spans="1:10" ht="14.1" customHeight="1" thickBot="1" x14ac:dyDescent="0.25">
      <c r="A1475" s="5"/>
      <c r="B1475" s="5"/>
      <c r="C1475" s="5"/>
      <c r="D1475" s="5"/>
      <c r="E1475" s="5"/>
      <c r="F1475" s="5"/>
      <c r="G1475" s="5"/>
      <c r="H1475" s="5"/>
      <c r="I1475" s="5"/>
      <c r="J1475" s="5"/>
    </row>
    <row r="1476" spans="1:10" ht="14.1" customHeight="1" thickBot="1" x14ac:dyDescent="0.25">
      <c r="A1476" s="67" t="s">
        <v>15735</v>
      </c>
      <c r="B1476" s="67" t="s">
        <v>16146</v>
      </c>
      <c r="C1476" s="67" t="s">
        <v>15641</v>
      </c>
      <c r="D1476" s="67" t="s">
        <v>15251</v>
      </c>
      <c r="E1476" s="67" t="s">
        <v>6932</v>
      </c>
      <c r="F1476" s="67" t="s">
        <v>15280</v>
      </c>
      <c r="G1476" s="5"/>
      <c r="H1476" s="5"/>
      <c r="I1476" s="5"/>
      <c r="J1476" s="5"/>
    </row>
    <row r="1477" spans="1:10" ht="13.5" customHeight="1" x14ac:dyDescent="0.2">
      <c r="A1477" s="78">
        <v>55101515</v>
      </c>
      <c r="B1477" s="64" t="str">
        <f ca="1">IFERROR(INDEX(UNSPSCDes,MATCH(INDIRECT(ADDRESS(ROW(),COLUMN()-1,4)),UNSPSCCode,0)),"")</f>
        <v>Material promocional o reportes anuales</v>
      </c>
      <c r="C1477" s="63" t="s">
        <v>1449</v>
      </c>
      <c r="D1477" s="63">
        <v>60</v>
      </c>
      <c r="E1477" s="66">
        <v>500</v>
      </c>
      <c r="F1477" s="65">
        <f ca="1">INDIRECT(ADDRESS(ROW(),COLUMN()-2,4))*INDIRECT(ADDRESS(ROW(),COLUMN()-1,4))</f>
        <v>30000</v>
      </c>
      <c r="G1477" s="5"/>
      <c r="H1477" s="5"/>
      <c r="I1477" s="5"/>
      <c r="J1477" s="5"/>
    </row>
    <row r="1478" spans="1:10" ht="13.5" customHeight="1" x14ac:dyDescent="0.2">
      <c r="A1478" s="78">
        <v>55101519</v>
      </c>
      <c r="B1478" s="64" t="str">
        <f ca="1">IFERROR(INDEX(UNSPSCDes,MATCH(INDIRECT(ADDRESS(ROW(),COLUMN()-1,4)),UNSPSCCode,0)),"")</f>
        <v>Publicaciones periódicas</v>
      </c>
      <c r="C1478" s="63" t="s">
        <v>1449</v>
      </c>
      <c r="D1478" s="63">
        <v>50</v>
      </c>
      <c r="E1478" s="66">
        <v>200</v>
      </c>
      <c r="F1478" s="65">
        <f ca="1">INDIRECT(ADDRESS(ROW(),COLUMN()-2,4))*INDIRECT(ADDRESS(ROW(),COLUMN()-1,4))</f>
        <v>10000</v>
      </c>
      <c r="G1478" s="5"/>
      <c r="H1478" s="5"/>
      <c r="I1478" s="5"/>
      <c r="J1478" s="5"/>
    </row>
    <row r="1479" spans="1:10" ht="13.5" customHeight="1" x14ac:dyDescent="0.2">
      <c r="A1479" s="78">
        <v>55101509</v>
      </c>
      <c r="B1479" s="64" t="str">
        <f ca="1">IFERROR(INDEX(UNSPSCDes,MATCH(INDIRECT(ADDRESS(ROW(),COLUMN()-1,4)),UNSPSCCode,0)),"")</f>
        <v>Textos educacionales o vocacionales</v>
      </c>
      <c r="C1479" s="63" t="s">
        <v>1449</v>
      </c>
      <c r="D1479" s="63">
        <v>50</v>
      </c>
      <c r="E1479" s="66">
        <v>200</v>
      </c>
      <c r="F1479" s="65">
        <f ca="1">INDIRECT(ADDRESS(ROW(),COLUMN()-2,4))*INDIRECT(ADDRESS(ROW(),COLUMN()-1,4))</f>
        <v>10000</v>
      </c>
      <c r="G1479" s="5"/>
      <c r="H1479" s="5"/>
      <c r="I1479" s="5"/>
      <c r="J1479" s="5"/>
    </row>
    <row r="1480" spans="1:10" ht="14.1" customHeight="1" x14ac:dyDescent="0.2">
      <c r="A1480" s="5"/>
      <c r="B1480" s="5"/>
      <c r="C1480" s="5"/>
      <c r="D1480" s="5"/>
      <c r="E1480" s="68" t="s">
        <v>12550</v>
      </c>
      <c r="F1480" s="69">
        <f ca="1">SUM(Table390[MONTO TOTAL ESTIMADO])</f>
        <v>50000</v>
      </c>
      <c r="G1480" s="5"/>
      <c r="H1480" s="5" t="str">
        <f>C1470</f>
        <v>Servicios</v>
      </c>
      <c r="I1480" s="5" t="str">
        <f>E1470</f>
        <v>Sí</v>
      </c>
      <c r="J1480" s="5" t="str">
        <f>D1470</f>
        <v>Compras por debajo del Umbral</v>
      </c>
    </row>
    <row r="1481" spans="1:10" ht="14.1" customHeight="1" thickBot="1" x14ac:dyDescent="0.3"/>
    <row r="1482" spans="1:10" ht="33.75" customHeight="1" thickBot="1" x14ac:dyDescent="0.25">
      <c r="A1482" s="59" t="s">
        <v>16382</v>
      </c>
      <c r="B1482" s="59" t="s">
        <v>161</v>
      </c>
      <c r="C1482" s="59" t="s">
        <v>11724</v>
      </c>
      <c r="D1482" s="59" t="s">
        <v>14378</v>
      </c>
      <c r="E1482" s="59" t="s">
        <v>10962</v>
      </c>
      <c r="F1482" s="59" t="s">
        <v>11095</v>
      </c>
      <c r="G1482" s="5"/>
      <c r="H1482" s="5"/>
      <c r="I1482" s="5"/>
      <c r="J1482" s="5"/>
    </row>
    <row r="1483" spans="1:10" ht="13.5" customHeight="1" thickBot="1" x14ac:dyDescent="0.25">
      <c r="A1483" s="77" t="s">
        <v>18880</v>
      </c>
      <c r="B1483" s="77" t="s">
        <v>18879</v>
      </c>
      <c r="C1483" s="61" t="s">
        <v>6798</v>
      </c>
      <c r="D1483" s="61" t="s">
        <v>10171</v>
      </c>
      <c r="E1483" s="61" t="s">
        <v>8854</v>
      </c>
      <c r="F1483" s="61"/>
      <c r="G1483" s="5"/>
      <c r="H1483" s="5"/>
      <c r="I1483" s="5"/>
      <c r="J1483" s="5"/>
    </row>
    <row r="1484" spans="1:10" ht="14.1" customHeight="1" thickBot="1" x14ac:dyDescent="0.25">
      <c r="A1484" s="82" t="s">
        <v>14828</v>
      </c>
      <c r="B1484" s="62" t="s">
        <v>8528</v>
      </c>
      <c r="C1484" s="71">
        <v>43922</v>
      </c>
      <c r="D1484" s="82" t="s">
        <v>9385</v>
      </c>
      <c r="E1484" s="62" t="s">
        <v>13093</v>
      </c>
      <c r="F1484" s="61" t="s">
        <v>3080</v>
      </c>
      <c r="G1484" s="5"/>
      <c r="H1484" s="5"/>
      <c r="I1484" s="5"/>
      <c r="J1484" s="5"/>
    </row>
    <row r="1485" spans="1:10" ht="14.1" customHeight="1" thickBot="1" x14ac:dyDescent="0.25">
      <c r="A1485" s="83"/>
      <c r="B1485" s="62" t="s">
        <v>1786</v>
      </c>
      <c r="C1485" s="60">
        <f>IF(C1484="","",IF(AND(MONTH(C1484)&gt;=1,MONTH(C1484)&lt;=3),1,IF(AND(MONTH(C1484)&gt;=4,MONTH(C1484)&lt;=6),2,IF(AND(MONTH(C1484)&gt;=7,MONTH(C1484)&lt;=9),3,4))))</f>
        <v>2</v>
      </c>
      <c r="D1485" s="83"/>
      <c r="E1485" s="62" t="s">
        <v>2417</v>
      </c>
      <c r="F1485" s="61" t="s">
        <v>11112</v>
      </c>
      <c r="G1485" s="5"/>
      <c r="H1485" s="5"/>
      <c r="I1485" s="5"/>
      <c r="J1485" s="5"/>
    </row>
    <row r="1486" spans="1:10" ht="14.1" customHeight="1" thickBot="1" x14ac:dyDescent="0.25">
      <c r="A1486" s="83"/>
      <c r="B1486" s="62" t="s">
        <v>12942</v>
      </c>
      <c r="C1486" s="71">
        <v>44012</v>
      </c>
      <c r="D1486" s="83"/>
      <c r="E1486" s="62" t="s">
        <v>3073</v>
      </c>
      <c r="F1486" s="61" t="s">
        <v>11112</v>
      </c>
      <c r="G1486" s="5"/>
      <c r="H1486" s="5"/>
      <c r="I1486" s="5"/>
      <c r="J1486" s="5"/>
    </row>
    <row r="1487" spans="1:10" ht="14.1" customHeight="1" thickBot="1" x14ac:dyDescent="0.25">
      <c r="A1487" s="83"/>
      <c r="B1487" s="62" t="s">
        <v>1786</v>
      </c>
      <c r="C1487" s="60">
        <f>IF(C1486="","",IF(AND(MONTH(C1486)&gt;=1,MONTH(C1486)&lt;=3),1,IF(AND(MONTH(C1486)&gt;=4,MONTH(C1486)&lt;=6),2,IF(AND(MONTH(C1486)&gt;=7,MONTH(C1486)&lt;=9),3,4))))</f>
        <v>2</v>
      </c>
      <c r="D1487" s="83"/>
      <c r="E1487" s="62" t="s">
        <v>13192</v>
      </c>
      <c r="F1487" s="61" t="s">
        <v>11112</v>
      </c>
      <c r="G1487" s="5"/>
      <c r="H1487" s="5"/>
      <c r="I1487" s="5"/>
      <c r="J1487" s="5"/>
    </row>
    <row r="1488" spans="1:10" ht="14.1" customHeight="1" thickBot="1" x14ac:dyDescent="0.25">
      <c r="A1488" s="5"/>
      <c r="B1488" s="5"/>
      <c r="C1488" s="5"/>
      <c r="D1488" s="5"/>
      <c r="E1488" s="5"/>
      <c r="F1488" s="5"/>
      <c r="G1488" s="5"/>
      <c r="H1488" s="5"/>
      <c r="I1488" s="5"/>
      <c r="J1488" s="5"/>
    </row>
    <row r="1489" spans="1:10" ht="14.1" customHeight="1" thickBot="1" x14ac:dyDescent="0.25">
      <c r="A1489" s="67" t="s">
        <v>15735</v>
      </c>
      <c r="B1489" s="67" t="s">
        <v>16146</v>
      </c>
      <c r="C1489" s="67" t="s">
        <v>15641</v>
      </c>
      <c r="D1489" s="67" t="s">
        <v>15251</v>
      </c>
      <c r="E1489" s="67" t="s">
        <v>6932</v>
      </c>
      <c r="F1489" s="67" t="s">
        <v>15280</v>
      </c>
      <c r="G1489" s="5"/>
      <c r="H1489" s="5"/>
      <c r="I1489" s="5"/>
      <c r="J1489" s="5"/>
    </row>
    <row r="1490" spans="1:10" ht="13.5" customHeight="1" x14ac:dyDescent="0.2">
      <c r="A1490" s="78">
        <v>55101515</v>
      </c>
      <c r="B1490" s="64" t="str">
        <f ca="1">IFERROR(INDEX(UNSPSCDes,MATCH(INDIRECT(ADDRESS(ROW(),COLUMN()-1,4)),UNSPSCCode,0)),"")</f>
        <v>Material promocional o reportes anuales</v>
      </c>
      <c r="C1490" s="63" t="s">
        <v>1449</v>
      </c>
      <c r="D1490" s="63">
        <v>60</v>
      </c>
      <c r="E1490" s="66">
        <v>500</v>
      </c>
      <c r="F1490" s="65">
        <f ca="1">INDIRECT(ADDRESS(ROW(),COLUMN()-2,4))*INDIRECT(ADDRESS(ROW(),COLUMN()-1,4))</f>
        <v>30000</v>
      </c>
      <c r="G1490" s="5"/>
      <c r="H1490" s="5"/>
      <c r="I1490" s="5"/>
      <c r="J1490" s="5"/>
    </row>
    <row r="1491" spans="1:10" ht="13.5" customHeight="1" x14ac:dyDescent="0.2">
      <c r="A1491" s="78">
        <v>55101519</v>
      </c>
      <c r="B1491" s="64" t="str">
        <f ca="1">IFERROR(INDEX(UNSPSCDes,MATCH(INDIRECT(ADDRESS(ROW(),COLUMN()-1,4)),UNSPSCCode,0)),"")</f>
        <v>Publicaciones periódicas</v>
      </c>
      <c r="C1491" s="63" t="s">
        <v>1449</v>
      </c>
      <c r="D1491" s="63">
        <v>50</v>
      </c>
      <c r="E1491" s="66">
        <v>200</v>
      </c>
      <c r="F1491" s="65">
        <f ca="1">INDIRECT(ADDRESS(ROW(),COLUMN()-2,4))*INDIRECT(ADDRESS(ROW(),COLUMN()-1,4))</f>
        <v>10000</v>
      </c>
      <c r="G1491" s="5"/>
      <c r="H1491" s="5"/>
      <c r="I1491" s="5"/>
      <c r="J1491" s="5"/>
    </row>
    <row r="1492" spans="1:10" ht="13.5" customHeight="1" x14ac:dyDescent="0.2">
      <c r="A1492" s="78">
        <v>55101509</v>
      </c>
      <c r="B1492" s="64" t="str">
        <f ca="1">IFERROR(INDEX(UNSPSCDes,MATCH(INDIRECT(ADDRESS(ROW(),COLUMN()-1,4)),UNSPSCCode,0)),"")</f>
        <v>Textos educacionales o vocacionales</v>
      </c>
      <c r="C1492" s="63" t="s">
        <v>1449</v>
      </c>
      <c r="D1492" s="63">
        <v>50</v>
      </c>
      <c r="E1492" s="66">
        <v>200</v>
      </c>
      <c r="F1492" s="65">
        <f ca="1">INDIRECT(ADDRESS(ROW(),COLUMN()-2,4))*INDIRECT(ADDRESS(ROW(),COLUMN()-1,4))</f>
        <v>10000</v>
      </c>
      <c r="G1492" s="5"/>
      <c r="H1492" s="5"/>
      <c r="I1492" s="5"/>
      <c r="J1492" s="5"/>
    </row>
    <row r="1493" spans="1:10" ht="14.1" customHeight="1" x14ac:dyDescent="0.2">
      <c r="A1493" s="5"/>
      <c r="B1493" s="5"/>
      <c r="C1493" s="5"/>
      <c r="D1493" s="5"/>
      <c r="E1493" s="68" t="s">
        <v>12550</v>
      </c>
      <c r="F1493" s="69">
        <f ca="1">SUM(Table391[MONTO TOTAL ESTIMADO])</f>
        <v>50000</v>
      </c>
      <c r="G1493" s="5"/>
      <c r="H1493" s="5" t="str">
        <f>C1483</f>
        <v>Servicios</v>
      </c>
      <c r="I1493" s="5" t="str">
        <f>E1483</f>
        <v>Sí</v>
      </c>
      <c r="J1493" s="5" t="str">
        <f>D1483</f>
        <v>Compras por debajo del Umbral</v>
      </c>
    </row>
    <row r="1494" spans="1:10" ht="14.1" customHeight="1" thickBot="1" x14ac:dyDescent="0.3"/>
    <row r="1495" spans="1:10" ht="33.75" customHeight="1" thickBot="1" x14ac:dyDescent="0.25">
      <c r="A1495" s="59" t="s">
        <v>16382</v>
      </c>
      <c r="B1495" s="59" t="s">
        <v>161</v>
      </c>
      <c r="C1495" s="59" t="s">
        <v>11724</v>
      </c>
      <c r="D1495" s="59" t="s">
        <v>14378</v>
      </c>
      <c r="E1495" s="59" t="s">
        <v>10962</v>
      </c>
      <c r="F1495" s="59" t="s">
        <v>11095</v>
      </c>
      <c r="G1495" s="5"/>
      <c r="H1495" s="5"/>
      <c r="I1495" s="5"/>
      <c r="J1495" s="5"/>
    </row>
    <row r="1496" spans="1:10" ht="13.5" customHeight="1" thickBot="1" x14ac:dyDescent="0.25">
      <c r="A1496" s="77" t="s">
        <v>18880</v>
      </c>
      <c r="B1496" s="77" t="s">
        <v>18879</v>
      </c>
      <c r="C1496" s="61" t="s">
        <v>6798</v>
      </c>
      <c r="D1496" s="61" t="s">
        <v>10171</v>
      </c>
      <c r="E1496" s="61" t="s">
        <v>8854</v>
      </c>
      <c r="F1496" s="61"/>
      <c r="G1496" s="5"/>
      <c r="H1496" s="5"/>
      <c r="I1496" s="5"/>
      <c r="J1496" s="5"/>
    </row>
    <row r="1497" spans="1:10" ht="14.1" customHeight="1" thickBot="1" x14ac:dyDescent="0.25">
      <c r="A1497" s="82" t="s">
        <v>14828</v>
      </c>
      <c r="B1497" s="62" t="s">
        <v>8528</v>
      </c>
      <c r="C1497" s="71">
        <v>44013</v>
      </c>
      <c r="D1497" s="82" t="s">
        <v>9385</v>
      </c>
      <c r="E1497" s="62" t="s">
        <v>13093</v>
      </c>
      <c r="F1497" s="61" t="s">
        <v>3080</v>
      </c>
      <c r="G1497" s="5"/>
      <c r="H1497" s="5"/>
      <c r="I1497" s="5"/>
      <c r="J1497" s="5"/>
    </row>
    <row r="1498" spans="1:10" ht="14.1" customHeight="1" thickBot="1" x14ac:dyDescent="0.25">
      <c r="A1498" s="83"/>
      <c r="B1498" s="62" t="s">
        <v>1786</v>
      </c>
      <c r="C1498" s="60">
        <f>IF(C1497="","",IF(AND(MONTH(C1497)&gt;=1,MONTH(C1497)&lt;=3),1,IF(AND(MONTH(C1497)&gt;=4,MONTH(C1497)&lt;=6),2,IF(AND(MONTH(C1497)&gt;=7,MONTH(C1497)&lt;=9),3,4))))</f>
        <v>3</v>
      </c>
      <c r="D1498" s="83"/>
      <c r="E1498" s="62" t="s">
        <v>2417</v>
      </c>
      <c r="F1498" s="61" t="s">
        <v>11112</v>
      </c>
      <c r="G1498" s="5"/>
      <c r="H1498" s="5"/>
      <c r="I1498" s="5"/>
      <c r="J1498" s="5"/>
    </row>
    <row r="1499" spans="1:10" ht="14.1" customHeight="1" thickBot="1" x14ac:dyDescent="0.25">
      <c r="A1499" s="83"/>
      <c r="B1499" s="62" t="s">
        <v>12942</v>
      </c>
      <c r="C1499" s="71">
        <v>44104</v>
      </c>
      <c r="D1499" s="83"/>
      <c r="E1499" s="62" t="s">
        <v>3073</v>
      </c>
      <c r="F1499" s="61" t="s">
        <v>11112</v>
      </c>
      <c r="G1499" s="5"/>
      <c r="H1499" s="5"/>
      <c r="I1499" s="5"/>
      <c r="J1499" s="5"/>
    </row>
    <row r="1500" spans="1:10" ht="14.1" customHeight="1" thickBot="1" x14ac:dyDescent="0.25">
      <c r="A1500" s="83"/>
      <c r="B1500" s="62" t="s">
        <v>1786</v>
      </c>
      <c r="C1500" s="60">
        <f>IF(C1499="","",IF(AND(MONTH(C1499)&gt;=1,MONTH(C1499)&lt;=3),1,IF(AND(MONTH(C1499)&gt;=4,MONTH(C1499)&lt;=6),2,IF(AND(MONTH(C1499)&gt;=7,MONTH(C1499)&lt;=9),3,4))))</f>
        <v>3</v>
      </c>
      <c r="D1500" s="83"/>
      <c r="E1500" s="62" t="s">
        <v>13192</v>
      </c>
      <c r="F1500" s="61" t="s">
        <v>11112</v>
      </c>
      <c r="G1500" s="5"/>
      <c r="H1500" s="5"/>
      <c r="I1500" s="5"/>
      <c r="J1500" s="5"/>
    </row>
    <row r="1501" spans="1:10" ht="14.1" customHeight="1" thickBot="1" x14ac:dyDescent="0.25">
      <c r="A1501" s="5"/>
      <c r="B1501" s="5"/>
      <c r="C1501" s="5"/>
      <c r="D1501" s="5"/>
      <c r="E1501" s="5"/>
      <c r="F1501" s="5"/>
      <c r="G1501" s="5"/>
      <c r="H1501" s="5"/>
      <c r="I1501" s="5"/>
      <c r="J1501" s="5"/>
    </row>
    <row r="1502" spans="1:10" ht="14.1" customHeight="1" thickBot="1" x14ac:dyDescent="0.25">
      <c r="A1502" s="67" t="s">
        <v>15735</v>
      </c>
      <c r="B1502" s="67" t="s">
        <v>16146</v>
      </c>
      <c r="C1502" s="67" t="s">
        <v>15641</v>
      </c>
      <c r="D1502" s="67" t="s">
        <v>15251</v>
      </c>
      <c r="E1502" s="67" t="s">
        <v>6932</v>
      </c>
      <c r="F1502" s="67" t="s">
        <v>15280</v>
      </c>
      <c r="G1502" s="5"/>
      <c r="H1502" s="5"/>
      <c r="I1502" s="5"/>
      <c r="J1502" s="5"/>
    </row>
    <row r="1503" spans="1:10" ht="13.5" customHeight="1" x14ac:dyDescent="0.2">
      <c r="A1503" s="78">
        <v>55101515</v>
      </c>
      <c r="B1503" s="64" t="str">
        <f ca="1">IFERROR(INDEX(UNSPSCDes,MATCH(INDIRECT(ADDRESS(ROW(),COLUMN()-1,4)),UNSPSCCode,0)),"")</f>
        <v>Material promocional o reportes anuales</v>
      </c>
      <c r="C1503" s="63" t="s">
        <v>1449</v>
      </c>
      <c r="D1503" s="63">
        <v>60</v>
      </c>
      <c r="E1503" s="66">
        <v>500</v>
      </c>
      <c r="F1503" s="65">
        <f ca="1">INDIRECT(ADDRESS(ROW(),COLUMN()-2,4))*INDIRECT(ADDRESS(ROW(),COLUMN()-1,4))</f>
        <v>30000</v>
      </c>
      <c r="G1503" s="5"/>
      <c r="H1503" s="5"/>
      <c r="I1503" s="5"/>
      <c r="J1503" s="5"/>
    </row>
    <row r="1504" spans="1:10" ht="13.5" customHeight="1" x14ac:dyDescent="0.2">
      <c r="A1504" s="78">
        <v>55101519</v>
      </c>
      <c r="B1504" s="64" t="str">
        <f ca="1">IFERROR(INDEX(UNSPSCDes,MATCH(INDIRECT(ADDRESS(ROW(),COLUMN()-1,4)),UNSPSCCode,0)),"")</f>
        <v>Publicaciones periódicas</v>
      </c>
      <c r="C1504" s="63" t="s">
        <v>1449</v>
      </c>
      <c r="D1504" s="63">
        <v>50</v>
      </c>
      <c r="E1504" s="66">
        <v>200</v>
      </c>
      <c r="F1504" s="65">
        <f ca="1">INDIRECT(ADDRESS(ROW(),COLUMN()-2,4))*INDIRECT(ADDRESS(ROW(),COLUMN()-1,4))</f>
        <v>10000</v>
      </c>
      <c r="G1504" s="5"/>
      <c r="H1504" s="5"/>
      <c r="I1504" s="5"/>
      <c r="J1504" s="5"/>
    </row>
    <row r="1505" spans="1:10" ht="13.5" customHeight="1" x14ac:dyDescent="0.2">
      <c r="A1505" s="78">
        <v>55101509</v>
      </c>
      <c r="B1505" s="64" t="str">
        <f ca="1">IFERROR(INDEX(UNSPSCDes,MATCH(INDIRECT(ADDRESS(ROW(),COLUMN()-1,4)),UNSPSCCode,0)),"")</f>
        <v>Textos educacionales o vocacionales</v>
      </c>
      <c r="C1505" s="63" t="s">
        <v>1449</v>
      </c>
      <c r="D1505" s="63">
        <v>50</v>
      </c>
      <c r="E1505" s="66">
        <v>200</v>
      </c>
      <c r="F1505" s="65">
        <f ca="1">INDIRECT(ADDRESS(ROW(),COLUMN()-2,4))*INDIRECT(ADDRESS(ROW(),COLUMN()-1,4))</f>
        <v>10000</v>
      </c>
      <c r="G1505" s="5"/>
      <c r="H1505" s="5"/>
      <c r="I1505" s="5"/>
      <c r="J1505" s="5"/>
    </row>
    <row r="1506" spans="1:10" ht="14.1" customHeight="1" x14ac:dyDescent="0.2">
      <c r="A1506" s="5"/>
      <c r="B1506" s="5"/>
      <c r="C1506" s="5"/>
      <c r="D1506" s="5"/>
      <c r="E1506" s="68" t="s">
        <v>12550</v>
      </c>
      <c r="F1506" s="69">
        <f ca="1">SUM(Table392[MONTO TOTAL ESTIMADO])</f>
        <v>50000</v>
      </c>
      <c r="G1506" s="5"/>
      <c r="H1506" s="5" t="str">
        <f>C1496</f>
        <v>Servicios</v>
      </c>
      <c r="I1506" s="5" t="str">
        <f>E1496</f>
        <v>Sí</v>
      </c>
      <c r="J1506" s="5" t="str">
        <f>D1496</f>
        <v>Compras por debajo del Umbral</v>
      </c>
    </row>
    <row r="1507" spans="1:10" ht="14.1" customHeight="1" thickBot="1" x14ac:dyDescent="0.3"/>
    <row r="1508" spans="1:10" ht="33.75" customHeight="1" thickBot="1" x14ac:dyDescent="0.25">
      <c r="A1508" s="59" t="s">
        <v>16382</v>
      </c>
      <c r="B1508" s="59" t="s">
        <v>161</v>
      </c>
      <c r="C1508" s="59" t="s">
        <v>11724</v>
      </c>
      <c r="D1508" s="59" t="s">
        <v>14378</v>
      </c>
      <c r="E1508" s="59" t="s">
        <v>10962</v>
      </c>
      <c r="F1508" s="59" t="s">
        <v>11095</v>
      </c>
      <c r="G1508" s="5"/>
      <c r="H1508" s="5"/>
      <c r="I1508" s="5"/>
      <c r="J1508" s="5"/>
    </row>
    <row r="1509" spans="1:10" ht="13.5" customHeight="1" thickBot="1" x14ac:dyDescent="0.25">
      <c r="A1509" s="77" t="s">
        <v>18880</v>
      </c>
      <c r="B1509" s="77" t="s">
        <v>18879</v>
      </c>
      <c r="C1509" s="61" t="s">
        <v>6798</v>
      </c>
      <c r="D1509" s="61" t="s">
        <v>10171</v>
      </c>
      <c r="E1509" s="61" t="s">
        <v>8854</v>
      </c>
      <c r="F1509" s="61"/>
      <c r="G1509" s="5"/>
      <c r="H1509" s="5"/>
      <c r="I1509" s="5"/>
      <c r="J1509" s="5"/>
    </row>
    <row r="1510" spans="1:10" ht="14.1" customHeight="1" thickBot="1" x14ac:dyDescent="0.25">
      <c r="A1510" s="82" t="s">
        <v>14828</v>
      </c>
      <c r="B1510" s="62" t="s">
        <v>8528</v>
      </c>
      <c r="C1510" s="71">
        <v>44105</v>
      </c>
      <c r="D1510" s="82" t="s">
        <v>9385</v>
      </c>
      <c r="E1510" s="62" t="s">
        <v>13093</v>
      </c>
      <c r="F1510" s="61" t="s">
        <v>3080</v>
      </c>
      <c r="G1510" s="5"/>
      <c r="H1510" s="5"/>
      <c r="I1510" s="5"/>
      <c r="J1510" s="5"/>
    </row>
    <row r="1511" spans="1:10" ht="14.1" customHeight="1" thickBot="1" x14ac:dyDescent="0.25">
      <c r="A1511" s="83"/>
      <c r="B1511" s="62" t="s">
        <v>1786</v>
      </c>
      <c r="C1511" s="60">
        <f>IF(C1510="","",IF(AND(MONTH(C1510)&gt;=1,MONTH(C1510)&lt;=3),1,IF(AND(MONTH(C1510)&gt;=4,MONTH(C1510)&lt;=6),2,IF(AND(MONTH(C1510)&gt;=7,MONTH(C1510)&lt;=9),3,4))))</f>
        <v>4</v>
      </c>
      <c r="D1511" s="83"/>
      <c r="E1511" s="62" t="s">
        <v>2417</v>
      </c>
      <c r="F1511" s="61" t="s">
        <v>11112</v>
      </c>
      <c r="G1511" s="5"/>
      <c r="H1511" s="5"/>
      <c r="I1511" s="5"/>
      <c r="J1511" s="5"/>
    </row>
    <row r="1512" spans="1:10" ht="14.1" customHeight="1" thickBot="1" x14ac:dyDescent="0.25">
      <c r="A1512" s="83"/>
      <c r="B1512" s="62" t="s">
        <v>12942</v>
      </c>
      <c r="C1512" s="71">
        <v>44196</v>
      </c>
      <c r="D1512" s="83"/>
      <c r="E1512" s="62" t="s">
        <v>3073</v>
      </c>
      <c r="F1512" s="61" t="s">
        <v>11112</v>
      </c>
      <c r="G1512" s="5"/>
      <c r="H1512" s="5"/>
      <c r="I1512" s="5"/>
      <c r="J1512" s="5"/>
    </row>
    <row r="1513" spans="1:10" ht="14.1" customHeight="1" thickBot="1" x14ac:dyDescent="0.25">
      <c r="A1513" s="83"/>
      <c r="B1513" s="62" t="s">
        <v>1786</v>
      </c>
      <c r="C1513" s="60">
        <f>IF(C1512="","",IF(AND(MONTH(C1512)&gt;=1,MONTH(C1512)&lt;=3),1,IF(AND(MONTH(C1512)&gt;=4,MONTH(C1512)&lt;=6),2,IF(AND(MONTH(C1512)&gt;=7,MONTH(C1512)&lt;=9),3,4))))</f>
        <v>4</v>
      </c>
      <c r="D1513" s="83"/>
      <c r="E1513" s="62" t="s">
        <v>13192</v>
      </c>
      <c r="F1513" s="61" t="s">
        <v>11112</v>
      </c>
      <c r="G1513" s="5"/>
      <c r="H1513" s="5"/>
      <c r="I1513" s="5"/>
      <c r="J1513" s="5"/>
    </row>
    <row r="1514" spans="1:10" ht="14.1" customHeight="1" thickBot="1" x14ac:dyDescent="0.25">
      <c r="A1514" s="5"/>
      <c r="B1514" s="5"/>
      <c r="C1514" s="5"/>
      <c r="D1514" s="5"/>
      <c r="E1514" s="5"/>
      <c r="F1514" s="5"/>
      <c r="G1514" s="5"/>
      <c r="H1514" s="5"/>
      <c r="I1514" s="5"/>
      <c r="J1514" s="5"/>
    </row>
    <row r="1515" spans="1:10" ht="14.1" customHeight="1" thickBot="1" x14ac:dyDescent="0.25">
      <c r="A1515" s="67" t="s">
        <v>15735</v>
      </c>
      <c r="B1515" s="67" t="s">
        <v>16146</v>
      </c>
      <c r="C1515" s="67" t="s">
        <v>15641</v>
      </c>
      <c r="D1515" s="67" t="s">
        <v>15251</v>
      </c>
      <c r="E1515" s="67" t="s">
        <v>6932</v>
      </c>
      <c r="F1515" s="67" t="s">
        <v>15280</v>
      </c>
      <c r="G1515" s="5"/>
      <c r="H1515" s="5"/>
      <c r="I1515" s="5"/>
      <c r="J1515" s="5"/>
    </row>
    <row r="1516" spans="1:10" ht="13.5" customHeight="1" x14ac:dyDescent="0.2">
      <c r="A1516" s="78">
        <v>55101515</v>
      </c>
      <c r="B1516" s="64" t="str">
        <f ca="1">IFERROR(INDEX(UNSPSCDes,MATCH(INDIRECT(ADDRESS(ROW(),COLUMN()-1,4)),UNSPSCCode,0)),"")</f>
        <v>Material promocional o reportes anuales</v>
      </c>
      <c r="C1516" s="63" t="s">
        <v>1449</v>
      </c>
      <c r="D1516" s="63">
        <v>60</v>
      </c>
      <c r="E1516" s="66">
        <v>500</v>
      </c>
      <c r="F1516" s="65">
        <f ca="1">INDIRECT(ADDRESS(ROW(),COLUMN()-2,4))*INDIRECT(ADDRESS(ROW(),COLUMN()-1,4))</f>
        <v>30000</v>
      </c>
      <c r="G1516" s="5"/>
      <c r="H1516" s="5"/>
      <c r="I1516" s="5"/>
      <c r="J1516" s="5"/>
    </row>
    <row r="1517" spans="1:10" ht="13.5" customHeight="1" x14ac:dyDescent="0.2">
      <c r="A1517" s="78">
        <v>55101519</v>
      </c>
      <c r="B1517" s="64" t="str">
        <f ca="1">IFERROR(INDEX(UNSPSCDes,MATCH(INDIRECT(ADDRESS(ROW(),COLUMN()-1,4)),UNSPSCCode,0)),"")</f>
        <v>Publicaciones periódicas</v>
      </c>
      <c r="C1517" s="63" t="s">
        <v>1449</v>
      </c>
      <c r="D1517" s="63">
        <v>50</v>
      </c>
      <c r="E1517" s="66">
        <v>200</v>
      </c>
      <c r="F1517" s="65">
        <f ca="1">INDIRECT(ADDRESS(ROW(),COLUMN()-2,4))*INDIRECT(ADDRESS(ROW(),COLUMN()-1,4))</f>
        <v>10000</v>
      </c>
      <c r="G1517" s="5"/>
      <c r="H1517" s="5"/>
      <c r="I1517" s="5"/>
      <c r="J1517" s="5"/>
    </row>
    <row r="1518" spans="1:10" ht="13.5" customHeight="1" x14ac:dyDescent="0.2">
      <c r="A1518" s="78">
        <v>55101509</v>
      </c>
      <c r="B1518" s="64" t="str">
        <f ca="1">IFERROR(INDEX(UNSPSCDes,MATCH(INDIRECT(ADDRESS(ROW(),COLUMN()-1,4)),UNSPSCCode,0)),"")</f>
        <v>Textos educacionales o vocacionales</v>
      </c>
      <c r="C1518" s="63" t="s">
        <v>1449</v>
      </c>
      <c r="D1518" s="63">
        <v>50</v>
      </c>
      <c r="E1518" s="66">
        <v>200</v>
      </c>
      <c r="F1518" s="65">
        <f ca="1">INDIRECT(ADDRESS(ROW(),COLUMN()-2,4))*INDIRECT(ADDRESS(ROW(),COLUMN()-1,4))</f>
        <v>10000</v>
      </c>
      <c r="G1518" s="5"/>
      <c r="H1518" s="5"/>
      <c r="I1518" s="5"/>
      <c r="J1518" s="5"/>
    </row>
    <row r="1519" spans="1:10" ht="14.1" customHeight="1" x14ac:dyDescent="0.2">
      <c r="A1519" s="5"/>
      <c r="B1519" s="5"/>
      <c r="C1519" s="5"/>
      <c r="D1519" s="5"/>
      <c r="E1519" s="68" t="s">
        <v>12550</v>
      </c>
      <c r="F1519" s="69">
        <f ca="1">SUM(Table393[MONTO TOTAL ESTIMADO])</f>
        <v>50000</v>
      </c>
      <c r="G1519" s="5"/>
      <c r="H1519" s="5" t="str">
        <f>C1509</f>
        <v>Servicios</v>
      </c>
      <c r="I1519" s="5" t="str">
        <f>E1509</f>
        <v>Sí</v>
      </c>
      <c r="J1519" s="5" t="str">
        <f>D1509</f>
        <v>Compras por debajo del Umbral</v>
      </c>
    </row>
    <row r="1520" spans="1:10" ht="14.1" customHeight="1" thickBot="1" x14ac:dyDescent="0.3"/>
    <row r="1521" spans="1:10" ht="33.75" customHeight="1" thickBot="1" x14ac:dyDescent="0.25">
      <c r="A1521" s="59" t="s">
        <v>16382</v>
      </c>
      <c r="B1521" s="59" t="s">
        <v>161</v>
      </c>
      <c r="C1521" s="59" t="s">
        <v>11724</v>
      </c>
      <c r="D1521" s="59" t="s">
        <v>14378</v>
      </c>
      <c r="E1521" s="59" t="s">
        <v>10962</v>
      </c>
      <c r="F1521" s="59" t="s">
        <v>11095</v>
      </c>
      <c r="G1521" s="5"/>
      <c r="H1521" s="5"/>
      <c r="I1521" s="5"/>
      <c r="J1521" s="5"/>
    </row>
    <row r="1522" spans="1:10" ht="13.5" customHeight="1" thickBot="1" x14ac:dyDescent="0.25">
      <c r="A1522" s="77" t="s">
        <v>18881</v>
      </c>
      <c r="B1522" s="77" t="s">
        <v>18882</v>
      </c>
      <c r="C1522" s="61" t="s">
        <v>6798</v>
      </c>
      <c r="D1522" s="61" t="s">
        <v>10171</v>
      </c>
      <c r="E1522" s="61" t="s">
        <v>8854</v>
      </c>
      <c r="F1522" s="61"/>
      <c r="G1522" s="5"/>
      <c r="H1522" s="5"/>
      <c r="I1522" s="5"/>
      <c r="J1522" s="5"/>
    </row>
    <row r="1523" spans="1:10" ht="14.1" customHeight="1" thickBot="1" x14ac:dyDescent="0.25">
      <c r="A1523" s="82" t="s">
        <v>14828</v>
      </c>
      <c r="B1523" s="62" t="s">
        <v>8528</v>
      </c>
      <c r="C1523" s="71">
        <v>43831</v>
      </c>
      <c r="D1523" s="82" t="s">
        <v>9385</v>
      </c>
      <c r="E1523" s="62" t="s">
        <v>13093</v>
      </c>
      <c r="F1523" s="61" t="s">
        <v>3080</v>
      </c>
      <c r="G1523" s="5"/>
      <c r="H1523" s="5"/>
      <c r="I1523" s="5"/>
      <c r="J1523" s="5"/>
    </row>
    <row r="1524" spans="1:10" ht="14.1" customHeight="1" thickBot="1" x14ac:dyDescent="0.25">
      <c r="A1524" s="83"/>
      <c r="B1524" s="62" t="s">
        <v>1786</v>
      </c>
      <c r="C1524" s="60">
        <f>IF(C1523="","",IF(AND(MONTH(C1523)&gt;=1,MONTH(C1523)&lt;=3),1,IF(AND(MONTH(C1523)&gt;=4,MONTH(C1523)&lt;=6),2,IF(AND(MONTH(C1523)&gt;=7,MONTH(C1523)&lt;=9),3,4))))</f>
        <v>1</v>
      </c>
      <c r="D1524" s="83"/>
      <c r="E1524" s="62" t="s">
        <v>2417</v>
      </c>
      <c r="F1524" s="61" t="s">
        <v>11112</v>
      </c>
      <c r="G1524" s="5"/>
      <c r="H1524" s="5"/>
      <c r="I1524" s="5"/>
      <c r="J1524" s="5"/>
    </row>
    <row r="1525" spans="1:10" ht="14.1" customHeight="1" thickBot="1" x14ac:dyDescent="0.25">
      <c r="A1525" s="83"/>
      <c r="B1525" s="62" t="s">
        <v>12942</v>
      </c>
      <c r="C1525" s="71">
        <v>43921</v>
      </c>
      <c r="D1525" s="83"/>
      <c r="E1525" s="62" t="s">
        <v>3073</v>
      </c>
      <c r="F1525" s="61" t="s">
        <v>11112</v>
      </c>
      <c r="G1525" s="5"/>
      <c r="H1525" s="5"/>
      <c r="I1525" s="5"/>
      <c r="J1525" s="5"/>
    </row>
    <row r="1526" spans="1:10" ht="14.1" customHeight="1" thickBot="1" x14ac:dyDescent="0.25">
      <c r="A1526" s="83"/>
      <c r="B1526" s="62" t="s">
        <v>1786</v>
      </c>
      <c r="C1526" s="60">
        <f>IF(C1525="","",IF(AND(MONTH(C1525)&gt;=1,MONTH(C1525)&lt;=3),1,IF(AND(MONTH(C1525)&gt;=4,MONTH(C1525)&lt;=6),2,IF(AND(MONTH(C1525)&gt;=7,MONTH(C1525)&lt;=9),3,4))))</f>
        <v>1</v>
      </c>
      <c r="D1526" s="83"/>
      <c r="E1526" s="62" t="s">
        <v>13192</v>
      </c>
      <c r="F1526" s="61" t="s">
        <v>11112</v>
      </c>
      <c r="G1526" s="5"/>
      <c r="H1526" s="5"/>
      <c r="I1526" s="5"/>
      <c r="J1526" s="5"/>
    </row>
    <row r="1527" spans="1:10" ht="14.1" customHeight="1" thickBot="1" x14ac:dyDescent="0.25">
      <c r="A1527" s="5"/>
      <c r="B1527" s="5"/>
      <c r="C1527" s="5"/>
      <c r="D1527" s="5"/>
      <c r="E1527" s="5"/>
      <c r="F1527" s="5"/>
      <c r="G1527" s="5"/>
      <c r="H1527" s="5"/>
      <c r="I1527" s="5"/>
      <c r="J1527" s="5"/>
    </row>
    <row r="1528" spans="1:10" ht="14.1" customHeight="1" thickBot="1" x14ac:dyDescent="0.25">
      <c r="A1528" s="67" t="s">
        <v>15735</v>
      </c>
      <c r="B1528" s="67" t="s">
        <v>16146</v>
      </c>
      <c r="C1528" s="67" t="s">
        <v>15641</v>
      </c>
      <c r="D1528" s="67" t="s">
        <v>15251</v>
      </c>
      <c r="E1528" s="67" t="s">
        <v>6932</v>
      </c>
      <c r="F1528" s="67" t="s">
        <v>15280</v>
      </c>
      <c r="G1528" s="5"/>
      <c r="H1528" s="5"/>
      <c r="I1528" s="5"/>
      <c r="J1528" s="5"/>
    </row>
    <row r="1529" spans="1:10" ht="13.5" customHeight="1" x14ac:dyDescent="0.2">
      <c r="A1529" s="78">
        <v>82121507</v>
      </c>
      <c r="B1529" s="64" t="str">
        <f ca="1">IFERROR(INDEX(UNSPSCDes,MATCH(INDIRECT(ADDRESS(ROW(),COLUMN()-1,4)),UNSPSCCode,0)),"")</f>
        <v>Impresión de papelería o formularios comerciales</v>
      </c>
      <c r="C1529" s="63" t="s">
        <v>1449</v>
      </c>
      <c r="D1529" s="63">
        <v>56</v>
      </c>
      <c r="E1529" s="66">
        <v>400</v>
      </c>
      <c r="F1529" s="65">
        <f ca="1">INDIRECT(ADDRESS(ROW(),COLUMN()-2,4))*INDIRECT(ADDRESS(ROW(),COLUMN()-1,4))</f>
        <v>22400</v>
      </c>
      <c r="G1529" s="5"/>
      <c r="H1529" s="5"/>
      <c r="I1529" s="5"/>
      <c r="J1529" s="5"/>
    </row>
    <row r="1530" spans="1:10" ht="13.5" customHeight="1" x14ac:dyDescent="0.2">
      <c r="A1530" s="78">
        <v>82121505</v>
      </c>
      <c r="B1530" s="64" t="str">
        <f ca="1">IFERROR(INDEX(UNSPSCDes,MATCH(INDIRECT(ADDRESS(ROW(),COLUMN()-1,4)),UNSPSCCode,0)),"")</f>
        <v>Impresión promocional o publicitaria</v>
      </c>
      <c r="C1530" s="63" t="s">
        <v>1449</v>
      </c>
      <c r="D1530" s="63">
        <v>57</v>
      </c>
      <c r="E1530" s="66">
        <v>400</v>
      </c>
      <c r="F1530" s="65">
        <f ca="1">INDIRECT(ADDRESS(ROW(),COLUMN()-2,4))*INDIRECT(ADDRESS(ROW(),COLUMN()-1,4))</f>
        <v>22800</v>
      </c>
      <c r="G1530" s="5"/>
      <c r="H1530" s="5"/>
      <c r="I1530" s="5"/>
      <c r="J1530" s="5"/>
    </row>
    <row r="1531" spans="1:10" ht="13.5" customHeight="1" x14ac:dyDescent="0.2">
      <c r="A1531" s="78">
        <v>82121504</v>
      </c>
      <c r="B1531" s="64" t="str">
        <f ca="1">IFERROR(INDEX(UNSPSCDes,MATCH(INDIRECT(ADDRESS(ROW(),COLUMN()-1,4)),UNSPSCCode,0)),"")</f>
        <v>Impresión tipográfica o por serigrafía</v>
      </c>
      <c r="C1531" s="63" t="s">
        <v>1449</v>
      </c>
      <c r="D1531" s="63">
        <v>49</v>
      </c>
      <c r="E1531" s="66">
        <v>200</v>
      </c>
      <c r="F1531" s="65">
        <f ca="1">INDIRECT(ADDRESS(ROW(),COLUMN()-2,4))*INDIRECT(ADDRESS(ROW(),COLUMN()-1,4))</f>
        <v>9800</v>
      </c>
      <c r="G1531" s="5"/>
      <c r="H1531" s="5"/>
      <c r="I1531" s="5"/>
      <c r="J1531" s="5"/>
    </row>
    <row r="1532" spans="1:10" ht="13.5" customHeight="1" x14ac:dyDescent="0.2">
      <c r="A1532" s="78">
        <v>14111509</v>
      </c>
      <c r="B1532" s="64" t="str">
        <f ca="1">IFERROR(INDEX(UNSPSCDes,MATCH(INDIRECT(ADDRESS(ROW(),COLUMN()-1,4)),UNSPSCCode,0)),"")</f>
        <v>Papel membreteado</v>
      </c>
      <c r="C1532" s="63" t="s">
        <v>8725</v>
      </c>
      <c r="D1532" s="63">
        <v>40</v>
      </c>
      <c r="E1532" s="66">
        <v>500</v>
      </c>
      <c r="F1532" s="65">
        <f ca="1">INDIRECT(ADDRESS(ROW(),COLUMN()-2,4))*INDIRECT(ADDRESS(ROW(),COLUMN()-1,4))</f>
        <v>20000</v>
      </c>
      <c r="G1532" s="5"/>
      <c r="H1532" s="5"/>
      <c r="I1532" s="5"/>
      <c r="J1532" s="5"/>
    </row>
    <row r="1533" spans="1:10" ht="14.1" customHeight="1" x14ac:dyDescent="0.2">
      <c r="A1533" s="5"/>
      <c r="B1533" s="5"/>
      <c r="C1533" s="5"/>
      <c r="D1533" s="5"/>
      <c r="E1533" s="68" t="s">
        <v>12550</v>
      </c>
      <c r="F1533" s="69">
        <f ca="1">SUM(Table394[MONTO TOTAL ESTIMADO])</f>
        <v>75000</v>
      </c>
      <c r="G1533" s="5"/>
      <c r="H1533" s="5" t="str">
        <f>C1522</f>
        <v>Servicios</v>
      </c>
      <c r="I1533" s="5" t="str">
        <f>E1522</f>
        <v>Sí</v>
      </c>
      <c r="J1533" s="5" t="str">
        <f>D1522</f>
        <v>Compras por debajo del Umbral</v>
      </c>
    </row>
    <row r="1534" spans="1:10" ht="14.1" customHeight="1" thickBot="1" x14ac:dyDescent="0.3"/>
    <row r="1535" spans="1:10" ht="33.75" customHeight="1" thickBot="1" x14ac:dyDescent="0.25">
      <c r="A1535" s="59" t="s">
        <v>16382</v>
      </c>
      <c r="B1535" s="59" t="s">
        <v>161</v>
      </c>
      <c r="C1535" s="59" t="s">
        <v>11724</v>
      </c>
      <c r="D1535" s="59" t="s">
        <v>14378</v>
      </c>
      <c r="E1535" s="59" t="s">
        <v>10962</v>
      </c>
      <c r="F1535" s="59" t="s">
        <v>11095</v>
      </c>
      <c r="G1535" s="5"/>
      <c r="H1535" s="5"/>
      <c r="I1535" s="5"/>
      <c r="J1535" s="5"/>
    </row>
    <row r="1536" spans="1:10" ht="13.5" customHeight="1" thickBot="1" x14ac:dyDescent="0.25">
      <c r="A1536" s="77" t="s">
        <v>18881</v>
      </c>
      <c r="B1536" s="77" t="s">
        <v>18882</v>
      </c>
      <c r="C1536" s="61" t="s">
        <v>6798</v>
      </c>
      <c r="D1536" s="61" t="s">
        <v>10171</v>
      </c>
      <c r="E1536" s="61" t="s">
        <v>8854</v>
      </c>
      <c r="F1536" s="61"/>
      <c r="G1536" s="5"/>
      <c r="H1536" s="5"/>
      <c r="I1536" s="5"/>
      <c r="J1536" s="5"/>
    </row>
    <row r="1537" spans="1:10" ht="14.1" customHeight="1" thickBot="1" x14ac:dyDescent="0.25">
      <c r="A1537" s="82" t="s">
        <v>14828</v>
      </c>
      <c r="B1537" s="62" t="s">
        <v>8528</v>
      </c>
      <c r="C1537" s="71">
        <v>43922</v>
      </c>
      <c r="D1537" s="82" t="s">
        <v>9385</v>
      </c>
      <c r="E1537" s="62" t="s">
        <v>13093</v>
      </c>
      <c r="F1537" s="61" t="s">
        <v>3080</v>
      </c>
      <c r="G1537" s="5"/>
      <c r="H1537" s="5"/>
      <c r="I1537" s="5"/>
      <c r="J1537" s="5"/>
    </row>
    <row r="1538" spans="1:10" ht="14.1" customHeight="1" thickBot="1" x14ac:dyDescent="0.25">
      <c r="A1538" s="83"/>
      <c r="B1538" s="62" t="s">
        <v>1786</v>
      </c>
      <c r="C1538" s="60">
        <f>IF(C1537="","",IF(AND(MONTH(C1537)&gt;=1,MONTH(C1537)&lt;=3),1,IF(AND(MONTH(C1537)&gt;=4,MONTH(C1537)&lt;=6),2,IF(AND(MONTH(C1537)&gt;=7,MONTH(C1537)&lt;=9),3,4))))</f>
        <v>2</v>
      </c>
      <c r="D1538" s="83"/>
      <c r="E1538" s="62" t="s">
        <v>2417</v>
      </c>
      <c r="F1538" s="61" t="s">
        <v>11112</v>
      </c>
      <c r="G1538" s="5"/>
      <c r="H1538" s="5"/>
      <c r="I1538" s="5"/>
      <c r="J1538" s="5"/>
    </row>
    <row r="1539" spans="1:10" ht="14.1" customHeight="1" thickBot="1" x14ac:dyDescent="0.25">
      <c r="A1539" s="83"/>
      <c r="B1539" s="62" t="s">
        <v>12942</v>
      </c>
      <c r="C1539" s="71">
        <v>44012</v>
      </c>
      <c r="D1539" s="83"/>
      <c r="E1539" s="62" t="s">
        <v>3073</v>
      </c>
      <c r="F1539" s="61" t="s">
        <v>11112</v>
      </c>
      <c r="G1539" s="5"/>
      <c r="H1539" s="5"/>
      <c r="I1539" s="5"/>
      <c r="J1539" s="5"/>
    </row>
    <row r="1540" spans="1:10" ht="14.1" customHeight="1" thickBot="1" x14ac:dyDescent="0.25">
      <c r="A1540" s="83"/>
      <c r="B1540" s="62" t="s">
        <v>1786</v>
      </c>
      <c r="C1540" s="60">
        <f>IF(C1539="","",IF(AND(MONTH(C1539)&gt;=1,MONTH(C1539)&lt;=3),1,IF(AND(MONTH(C1539)&gt;=4,MONTH(C1539)&lt;=6),2,IF(AND(MONTH(C1539)&gt;=7,MONTH(C1539)&lt;=9),3,4))))</f>
        <v>2</v>
      </c>
      <c r="D1540" s="83"/>
      <c r="E1540" s="62" t="s">
        <v>13192</v>
      </c>
      <c r="F1540" s="61" t="s">
        <v>11112</v>
      </c>
      <c r="G1540" s="5"/>
      <c r="H1540" s="5"/>
      <c r="I1540" s="5"/>
      <c r="J1540" s="5"/>
    </row>
    <row r="1541" spans="1:10" ht="14.1" customHeight="1" thickBot="1" x14ac:dyDescent="0.25">
      <c r="A1541" s="5"/>
      <c r="B1541" s="5"/>
      <c r="C1541" s="5"/>
      <c r="D1541" s="5"/>
      <c r="E1541" s="5"/>
      <c r="F1541" s="5"/>
      <c r="G1541" s="5"/>
      <c r="H1541" s="5"/>
      <c r="I1541" s="5"/>
      <c r="J1541" s="5"/>
    </row>
    <row r="1542" spans="1:10" ht="14.1" customHeight="1" thickBot="1" x14ac:dyDescent="0.25">
      <c r="A1542" s="67" t="s">
        <v>15735</v>
      </c>
      <c r="B1542" s="67" t="s">
        <v>16146</v>
      </c>
      <c r="C1542" s="67" t="s">
        <v>15641</v>
      </c>
      <c r="D1542" s="67" t="s">
        <v>15251</v>
      </c>
      <c r="E1542" s="67" t="s">
        <v>6932</v>
      </c>
      <c r="F1542" s="67" t="s">
        <v>15280</v>
      </c>
      <c r="G1542" s="5"/>
      <c r="H1542" s="5"/>
      <c r="I1542" s="5"/>
      <c r="J1542" s="5"/>
    </row>
    <row r="1543" spans="1:10" ht="13.5" customHeight="1" x14ac:dyDescent="0.2">
      <c r="A1543" s="78">
        <v>82121507</v>
      </c>
      <c r="B1543" s="64" t="str">
        <f ca="1">IFERROR(INDEX(UNSPSCDes,MATCH(INDIRECT(ADDRESS(ROW(),COLUMN()-1,4)),UNSPSCCode,0)),"")</f>
        <v>Impresión de papelería o formularios comerciales</v>
      </c>
      <c r="C1543" s="63" t="s">
        <v>1449</v>
      </c>
      <c r="D1543" s="63">
        <v>56</v>
      </c>
      <c r="E1543" s="66">
        <v>400</v>
      </c>
      <c r="F1543" s="65">
        <f ca="1">INDIRECT(ADDRESS(ROW(),COLUMN()-2,4))*INDIRECT(ADDRESS(ROW(),COLUMN()-1,4))</f>
        <v>22400</v>
      </c>
      <c r="G1543" s="5"/>
      <c r="H1543" s="5"/>
      <c r="I1543" s="5"/>
      <c r="J1543" s="5"/>
    </row>
    <row r="1544" spans="1:10" ht="13.5" customHeight="1" x14ac:dyDescent="0.2">
      <c r="A1544" s="78">
        <v>82121505</v>
      </c>
      <c r="B1544" s="64" t="str">
        <f ca="1">IFERROR(INDEX(UNSPSCDes,MATCH(INDIRECT(ADDRESS(ROW(),COLUMN()-1,4)),UNSPSCCode,0)),"")</f>
        <v>Impresión promocional o publicitaria</v>
      </c>
      <c r="C1544" s="63" t="s">
        <v>1449</v>
      </c>
      <c r="D1544" s="63">
        <v>57</v>
      </c>
      <c r="E1544" s="66">
        <v>400</v>
      </c>
      <c r="F1544" s="65">
        <f ca="1">INDIRECT(ADDRESS(ROW(),COLUMN()-2,4))*INDIRECT(ADDRESS(ROW(),COLUMN()-1,4))</f>
        <v>22800</v>
      </c>
      <c r="G1544" s="5"/>
      <c r="H1544" s="5"/>
      <c r="I1544" s="5"/>
      <c r="J1544" s="5"/>
    </row>
    <row r="1545" spans="1:10" ht="13.5" customHeight="1" x14ac:dyDescent="0.2">
      <c r="A1545" s="78">
        <v>82121504</v>
      </c>
      <c r="B1545" s="64" t="str">
        <f ca="1">IFERROR(INDEX(UNSPSCDes,MATCH(INDIRECT(ADDRESS(ROW(),COLUMN()-1,4)),UNSPSCCode,0)),"")</f>
        <v>Impresión tipográfica o por serigrafía</v>
      </c>
      <c r="C1545" s="63" t="s">
        <v>1449</v>
      </c>
      <c r="D1545" s="63">
        <v>49</v>
      </c>
      <c r="E1545" s="66">
        <v>200</v>
      </c>
      <c r="F1545" s="65">
        <f ca="1">INDIRECT(ADDRESS(ROW(),COLUMN()-2,4))*INDIRECT(ADDRESS(ROW(),COLUMN()-1,4))</f>
        <v>9800</v>
      </c>
      <c r="G1545" s="5"/>
      <c r="H1545" s="5"/>
      <c r="I1545" s="5"/>
      <c r="J1545" s="5"/>
    </row>
    <row r="1546" spans="1:10" ht="13.5" customHeight="1" x14ac:dyDescent="0.2">
      <c r="A1546" s="78">
        <v>14111509</v>
      </c>
      <c r="B1546" s="64" t="str">
        <f ca="1">IFERROR(INDEX(UNSPSCDes,MATCH(INDIRECT(ADDRESS(ROW(),COLUMN()-1,4)),UNSPSCCode,0)),"")</f>
        <v>Papel membreteado</v>
      </c>
      <c r="C1546" s="63" t="s">
        <v>8725</v>
      </c>
      <c r="D1546" s="63">
        <v>40</v>
      </c>
      <c r="E1546" s="66">
        <v>500</v>
      </c>
      <c r="F1546" s="65">
        <f ca="1">INDIRECT(ADDRESS(ROW(),COLUMN()-2,4))*INDIRECT(ADDRESS(ROW(),COLUMN()-1,4))</f>
        <v>20000</v>
      </c>
      <c r="G1546" s="5"/>
      <c r="H1546" s="5"/>
      <c r="I1546" s="5"/>
      <c r="J1546" s="5"/>
    </row>
    <row r="1547" spans="1:10" ht="14.1" customHeight="1" x14ac:dyDescent="0.2">
      <c r="A1547" s="5"/>
      <c r="B1547" s="5"/>
      <c r="C1547" s="5"/>
      <c r="D1547" s="5"/>
      <c r="E1547" s="68" t="s">
        <v>12550</v>
      </c>
      <c r="F1547" s="69">
        <f ca="1">SUM(Table395[MONTO TOTAL ESTIMADO])</f>
        <v>75000</v>
      </c>
      <c r="G1547" s="5"/>
      <c r="H1547" s="5" t="str">
        <f>C1536</f>
        <v>Servicios</v>
      </c>
      <c r="I1547" s="5" t="str">
        <f>E1536</f>
        <v>Sí</v>
      </c>
      <c r="J1547" s="5" t="str">
        <f>D1536</f>
        <v>Compras por debajo del Umbral</v>
      </c>
    </row>
    <row r="1548" spans="1:10" ht="14.1" customHeight="1" thickBot="1" x14ac:dyDescent="0.3"/>
    <row r="1549" spans="1:10" ht="33.75" customHeight="1" thickBot="1" x14ac:dyDescent="0.25">
      <c r="A1549" s="59" t="s">
        <v>16382</v>
      </c>
      <c r="B1549" s="59" t="s">
        <v>161</v>
      </c>
      <c r="C1549" s="59" t="s">
        <v>11724</v>
      </c>
      <c r="D1549" s="59" t="s">
        <v>14378</v>
      </c>
      <c r="E1549" s="59" t="s">
        <v>10962</v>
      </c>
      <c r="F1549" s="59" t="s">
        <v>11095</v>
      </c>
      <c r="G1549" s="5"/>
      <c r="H1549" s="5"/>
      <c r="I1549" s="5"/>
      <c r="J1549" s="5"/>
    </row>
    <row r="1550" spans="1:10" ht="13.5" customHeight="1" thickBot="1" x14ac:dyDescent="0.25">
      <c r="A1550" s="77" t="s">
        <v>18881</v>
      </c>
      <c r="B1550" s="77" t="s">
        <v>18882</v>
      </c>
      <c r="C1550" s="61" t="s">
        <v>6798</v>
      </c>
      <c r="D1550" s="61" t="s">
        <v>10171</v>
      </c>
      <c r="E1550" s="61" t="s">
        <v>8854</v>
      </c>
      <c r="F1550" s="61"/>
      <c r="G1550" s="5"/>
      <c r="H1550" s="5"/>
      <c r="I1550" s="5"/>
      <c r="J1550" s="5"/>
    </row>
    <row r="1551" spans="1:10" ht="14.1" customHeight="1" thickBot="1" x14ac:dyDescent="0.25">
      <c r="A1551" s="82" t="s">
        <v>14828</v>
      </c>
      <c r="B1551" s="62" t="s">
        <v>8528</v>
      </c>
      <c r="C1551" s="71">
        <v>44013</v>
      </c>
      <c r="D1551" s="82" t="s">
        <v>9385</v>
      </c>
      <c r="E1551" s="62" t="s">
        <v>13093</v>
      </c>
      <c r="F1551" s="61" t="s">
        <v>3080</v>
      </c>
      <c r="G1551" s="5"/>
      <c r="H1551" s="5"/>
      <c r="I1551" s="5"/>
      <c r="J1551" s="5"/>
    </row>
    <row r="1552" spans="1:10" ht="14.1" customHeight="1" thickBot="1" x14ac:dyDescent="0.25">
      <c r="A1552" s="83"/>
      <c r="B1552" s="62" t="s">
        <v>1786</v>
      </c>
      <c r="C1552" s="60">
        <f>IF(C1551="","",IF(AND(MONTH(C1551)&gt;=1,MONTH(C1551)&lt;=3),1,IF(AND(MONTH(C1551)&gt;=4,MONTH(C1551)&lt;=6),2,IF(AND(MONTH(C1551)&gt;=7,MONTH(C1551)&lt;=9),3,4))))</f>
        <v>3</v>
      </c>
      <c r="D1552" s="83"/>
      <c r="E1552" s="62" t="s">
        <v>2417</v>
      </c>
      <c r="F1552" s="61" t="s">
        <v>11112</v>
      </c>
      <c r="G1552" s="5"/>
      <c r="H1552" s="5"/>
      <c r="I1552" s="5"/>
      <c r="J1552" s="5"/>
    </row>
    <row r="1553" spans="1:10" ht="14.1" customHeight="1" thickBot="1" x14ac:dyDescent="0.25">
      <c r="A1553" s="83"/>
      <c r="B1553" s="62" t="s">
        <v>12942</v>
      </c>
      <c r="C1553" s="71">
        <v>44104</v>
      </c>
      <c r="D1553" s="83"/>
      <c r="E1553" s="62" t="s">
        <v>3073</v>
      </c>
      <c r="F1553" s="61" t="s">
        <v>11112</v>
      </c>
      <c r="G1553" s="5"/>
      <c r="H1553" s="5"/>
      <c r="I1553" s="5"/>
      <c r="J1553" s="5"/>
    </row>
    <row r="1554" spans="1:10" ht="14.1" customHeight="1" thickBot="1" x14ac:dyDescent="0.25">
      <c r="A1554" s="83"/>
      <c r="B1554" s="62" t="s">
        <v>1786</v>
      </c>
      <c r="C1554" s="60">
        <f>IF(C1553="","",IF(AND(MONTH(C1553)&gt;=1,MONTH(C1553)&lt;=3),1,IF(AND(MONTH(C1553)&gt;=4,MONTH(C1553)&lt;=6),2,IF(AND(MONTH(C1553)&gt;=7,MONTH(C1553)&lt;=9),3,4))))</f>
        <v>3</v>
      </c>
      <c r="D1554" s="83"/>
      <c r="E1554" s="62" t="s">
        <v>13192</v>
      </c>
      <c r="F1554" s="61" t="s">
        <v>11112</v>
      </c>
      <c r="G1554" s="5"/>
      <c r="H1554" s="5"/>
      <c r="I1554" s="5"/>
      <c r="J1554" s="5"/>
    </row>
    <row r="1555" spans="1:10" ht="14.1" customHeight="1" thickBot="1" x14ac:dyDescent="0.25">
      <c r="A1555" s="5"/>
      <c r="B1555" s="5"/>
      <c r="C1555" s="5"/>
      <c r="D1555" s="5"/>
      <c r="E1555" s="5"/>
      <c r="F1555" s="5"/>
      <c r="G1555" s="5"/>
      <c r="H1555" s="5"/>
      <c r="I1555" s="5"/>
      <c r="J1555" s="5"/>
    </row>
    <row r="1556" spans="1:10" ht="14.1" customHeight="1" thickBot="1" x14ac:dyDescent="0.25">
      <c r="A1556" s="67" t="s">
        <v>15735</v>
      </c>
      <c r="B1556" s="67" t="s">
        <v>16146</v>
      </c>
      <c r="C1556" s="67" t="s">
        <v>15641</v>
      </c>
      <c r="D1556" s="67" t="s">
        <v>15251</v>
      </c>
      <c r="E1556" s="67" t="s">
        <v>6932</v>
      </c>
      <c r="F1556" s="67" t="s">
        <v>15280</v>
      </c>
      <c r="G1556" s="5"/>
      <c r="H1556" s="5"/>
      <c r="I1556" s="5"/>
      <c r="J1556" s="5"/>
    </row>
    <row r="1557" spans="1:10" ht="13.5" customHeight="1" x14ac:dyDescent="0.2">
      <c r="A1557" s="78">
        <v>82121507</v>
      </c>
      <c r="B1557" s="64" t="str">
        <f ca="1">IFERROR(INDEX(UNSPSCDes,MATCH(INDIRECT(ADDRESS(ROW(),COLUMN()-1,4)),UNSPSCCode,0)),"")</f>
        <v>Impresión de papelería o formularios comerciales</v>
      </c>
      <c r="C1557" s="63" t="s">
        <v>1449</v>
      </c>
      <c r="D1557" s="63">
        <v>56</v>
      </c>
      <c r="E1557" s="66">
        <v>400</v>
      </c>
      <c r="F1557" s="65">
        <f ca="1">INDIRECT(ADDRESS(ROW(),COLUMN()-2,4))*INDIRECT(ADDRESS(ROW(),COLUMN()-1,4))</f>
        <v>22400</v>
      </c>
      <c r="G1557" s="5"/>
      <c r="H1557" s="5"/>
      <c r="I1557" s="5"/>
      <c r="J1557" s="5"/>
    </row>
    <row r="1558" spans="1:10" ht="13.5" customHeight="1" x14ac:dyDescent="0.2">
      <c r="A1558" s="78">
        <v>82121505</v>
      </c>
      <c r="B1558" s="64" t="str">
        <f ca="1">IFERROR(INDEX(UNSPSCDes,MATCH(INDIRECT(ADDRESS(ROW(),COLUMN()-1,4)),UNSPSCCode,0)),"")</f>
        <v>Impresión promocional o publicitaria</v>
      </c>
      <c r="C1558" s="63" t="s">
        <v>1449</v>
      </c>
      <c r="D1558" s="63">
        <v>57</v>
      </c>
      <c r="E1558" s="66">
        <v>400</v>
      </c>
      <c r="F1558" s="65">
        <f ca="1">INDIRECT(ADDRESS(ROW(),COLUMN()-2,4))*INDIRECT(ADDRESS(ROW(),COLUMN()-1,4))</f>
        <v>22800</v>
      </c>
      <c r="G1558" s="5"/>
      <c r="H1558" s="5"/>
      <c r="I1558" s="5"/>
      <c r="J1558" s="5"/>
    </row>
    <row r="1559" spans="1:10" ht="13.5" customHeight="1" x14ac:dyDescent="0.2">
      <c r="A1559" s="78">
        <v>82121504</v>
      </c>
      <c r="B1559" s="64" t="str">
        <f ca="1">IFERROR(INDEX(UNSPSCDes,MATCH(INDIRECT(ADDRESS(ROW(),COLUMN()-1,4)),UNSPSCCode,0)),"")</f>
        <v>Impresión tipográfica o por serigrafía</v>
      </c>
      <c r="C1559" s="63" t="s">
        <v>1449</v>
      </c>
      <c r="D1559" s="63">
        <v>49</v>
      </c>
      <c r="E1559" s="66">
        <v>200</v>
      </c>
      <c r="F1559" s="65">
        <f ca="1">INDIRECT(ADDRESS(ROW(),COLUMN()-2,4))*INDIRECT(ADDRESS(ROW(),COLUMN()-1,4))</f>
        <v>9800</v>
      </c>
      <c r="G1559" s="5"/>
      <c r="H1559" s="5"/>
      <c r="I1559" s="5"/>
      <c r="J1559" s="5"/>
    </row>
    <row r="1560" spans="1:10" ht="13.5" customHeight="1" x14ac:dyDescent="0.2">
      <c r="A1560" s="78">
        <v>14111509</v>
      </c>
      <c r="B1560" s="64" t="str">
        <f ca="1">IFERROR(INDEX(UNSPSCDes,MATCH(INDIRECT(ADDRESS(ROW(),COLUMN()-1,4)),UNSPSCCode,0)),"")</f>
        <v>Papel membreteado</v>
      </c>
      <c r="C1560" s="63" t="s">
        <v>8725</v>
      </c>
      <c r="D1560" s="63">
        <v>40</v>
      </c>
      <c r="E1560" s="66">
        <v>500</v>
      </c>
      <c r="F1560" s="65">
        <f ca="1">INDIRECT(ADDRESS(ROW(),COLUMN()-2,4))*INDIRECT(ADDRESS(ROW(),COLUMN()-1,4))</f>
        <v>20000</v>
      </c>
      <c r="G1560" s="5"/>
      <c r="H1560" s="5"/>
      <c r="I1560" s="5"/>
      <c r="J1560" s="5"/>
    </row>
    <row r="1561" spans="1:10" ht="14.1" customHeight="1" x14ac:dyDescent="0.2">
      <c r="A1561" s="5"/>
      <c r="B1561" s="5"/>
      <c r="C1561" s="5"/>
      <c r="D1561" s="5"/>
      <c r="E1561" s="68" t="s">
        <v>12550</v>
      </c>
      <c r="F1561" s="69">
        <f ca="1">SUM(Table396[MONTO TOTAL ESTIMADO])</f>
        <v>75000</v>
      </c>
      <c r="G1561" s="5"/>
      <c r="H1561" s="5" t="str">
        <f>C1550</f>
        <v>Servicios</v>
      </c>
      <c r="I1561" s="5" t="str">
        <f>E1550</f>
        <v>Sí</v>
      </c>
      <c r="J1561" s="5" t="str">
        <f>D1550</f>
        <v>Compras por debajo del Umbral</v>
      </c>
    </row>
    <row r="1562" spans="1:10" ht="14.1" customHeight="1" thickBot="1" x14ac:dyDescent="0.3"/>
    <row r="1563" spans="1:10" ht="33.75" customHeight="1" thickBot="1" x14ac:dyDescent="0.25">
      <c r="A1563" s="59" t="s">
        <v>16382</v>
      </c>
      <c r="B1563" s="59" t="s">
        <v>161</v>
      </c>
      <c r="C1563" s="59" t="s">
        <v>11724</v>
      </c>
      <c r="D1563" s="59" t="s">
        <v>14378</v>
      </c>
      <c r="E1563" s="59" t="s">
        <v>10962</v>
      </c>
      <c r="F1563" s="59" t="s">
        <v>11095</v>
      </c>
      <c r="G1563" s="5"/>
      <c r="H1563" s="5"/>
      <c r="I1563" s="5"/>
      <c r="J1563" s="5"/>
    </row>
    <row r="1564" spans="1:10" ht="13.5" customHeight="1" thickBot="1" x14ac:dyDescent="0.25">
      <c r="A1564" s="77" t="s">
        <v>18881</v>
      </c>
      <c r="B1564" s="77" t="s">
        <v>18882</v>
      </c>
      <c r="C1564" s="61" t="s">
        <v>6798</v>
      </c>
      <c r="D1564" s="61" t="s">
        <v>10171</v>
      </c>
      <c r="E1564" s="61" t="s">
        <v>8854</v>
      </c>
      <c r="F1564" s="61"/>
      <c r="G1564" s="5"/>
      <c r="H1564" s="5"/>
      <c r="I1564" s="5"/>
      <c r="J1564" s="5"/>
    </row>
    <row r="1565" spans="1:10" ht="14.1" customHeight="1" thickBot="1" x14ac:dyDescent="0.25">
      <c r="A1565" s="82" t="s">
        <v>14828</v>
      </c>
      <c r="B1565" s="62" t="s">
        <v>8528</v>
      </c>
      <c r="C1565" s="71">
        <v>44105</v>
      </c>
      <c r="D1565" s="82" t="s">
        <v>9385</v>
      </c>
      <c r="E1565" s="62" t="s">
        <v>13093</v>
      </c>
      <c r="F1565" s="61" t="s">
        <v>3080</v>
      </c>
      <c r="G1565" s="5"/>
      <c r="H1565" s="5"/>
      <c r="I1565" s="5"/>
      <c r="J1565" s="5"/>
    </row>
    <row r="1566" spans="1:10" ht="14.1" customHeight="1" thickBot="1" x14ac:dyDescent="0.25">
      <c r="A1566" s="83"/>
      <c r="B1566" s="62" t="s">
        <v>1786</v>
      </c>
      <c r="C1566" s="60">
        <f>IF(C1565="","",IF(AND(MONTH(C1565)&gt;=1,MONTH(C1565)&lt;=3),1,IF(AND(MONTH(C1565)&gt;=4,MONTH(C1565)&lt;=6),2,IF(AND(MONTH(C1565)&gt;=7,MONTH(C1565)&lt;=9),3,4))))</f>
        <v>4</v>
      </c>
      <c r="D1566" s="83"/>
      <c r="E1566" s="62" t="s">
        <v>2417</v>
      </c>
      <c r="F1566" s="61" t="s">
        <v>11112</v>
      </c>
      <c r="G1566" s="5"/>
      <c r="H1566" s="5"/>
      <c r="I1566" s="5"/>
      <c r="J1566" s="5"/>
    </row>
    <row r="1567" spans="1:10" ht="14.1" customHeight="1" thickBot="1" x14ac:dyDescent="0.25">
      <c r="A1567" s="83"/>
      <c r="B1567" s="62" t="s">
        <v>12942</v>
      </c>
      <c r="C1567" s="71">
        <v>44196</v>
      </c>
      <c r="D1567" s="83"/>
      <c r="E1567" s="62" t="s">
        <v>3073</v>
      </c>
      <c r="F1567" s="61" t="s">
        <v>11112</v>
      </c>
      <c r="G1567" s="5"/>
      <c r="H1567" s="5"/>
      <c r="I1567" s="5"/>
      <c r="J1567" s="5"/>
    </row>
    <row r="1568" spans="1:10" ht="14.1" customHeight="1" thickBot="1" x14ac:dyDescent="0.25">
      <c r="A1568" s="83"/>
      <c r="B1568" s="62" t="s">
        <v>1786</v>
      </c>
      <c r="C1568" s="60">
        <f>IF(C1567="","",IF(AND(MONTH(C1567)&gt;=1,MONTH(C1567)&lt;=3),1,IF(AND(MONTH(C1567)&gt;=4,MONTH(C1567)&lt;=6),2,IF(AND(MONTH(C1567)&gt;=7,MONTH(C1567)&lt;=9),3,4))))</f>
        <v>4</v>
      </c>
      <c r="D1568" s="83"/>
      <c r="E1568" s="62" t="s">
        <v>13192</v>
      </c>
      <c r="F1568" s="61" t="s">
        <v>11112</v>
      </c>
      <c r="G1568" s="5"/>
      <c r="H1568" s="5"/>
      <c r="I1568" s="5"/>
      <c r="J1568" s="5"/>
    </row>
    <row r="1569" spans="1:10" ht="14.1" customHeight="1" thickBot="1" x14ac:dyDescent="0.25">
      <c r="A1569" s="5"/>
      <c r="B1569" s="5"/>
      <c r="C1569" s="5"/>
      <c r="D1569" s="5"/>
      <c r="E1569" s="5"/>
      <c r="F1569" s="5"/>
      <c r="G1569" s="5"/>
      <c r="H1569" s="5"/>
      <c r="I1569" s="5"/>
      <c r="J1569" s="5"/>
    </row>
    <row r="1570" spans="1:10" ht="14.1" customHeight="1" thickBot="1" x14ac:dyDescent="0.25">
      <c r="A1570" s="67" t="s">
        <v>15735</v>
      </c>
      <c r="B1570" s="67" t="s">
        <v>16146</v>
      </c>
      <c r="C1570" s="67" t="s">
        <v>15641</v>
      </c>
      <c r="D1570" s="67" t="s">
        <v>15251</v>
      </c>
      <c r="E1570" s="67" t="s">
        <v>6932</v>
      </c>
      <c r="F1570" s="67" t="s">
        <v>15280</v>
      </c>
      <c r="G1570" s="5"/>
      <c r="H1570" s="5"/>
      <c r="I1570" s="5"/>
      <c r="J1570" s="5"/>
    </row>
    <row r="1571" spans="1:10" ht="13.5" customHeight="1" x14ac:dyDescent="0.2">
      <c r="A1571" s="78">
        <v>82121507</v>
      </c>
      <c r="B1571" s="64" t="str">
        <f ca="1">IFERROR(INDEX(UNSPSCDes,MATCH(INDIRECT(ADDRESS(ROW(),COLUMN()-1,4)),UNSPSCCode,0)),"")</f>
        <v>Impresión de papelería o formularios comerciales</v>
      </c>
      <c r="C1571" s="63" t="s">
        <v>1449</v>
      </c>
      <c r="D1571" s="63">
        <v>56</v>
      </c>
      <c r="E1571" s="66">
        <v>400</v>
      </c>
      <c r="F1571" s="65">
        <f ca="1">INDIRECT(ADDRESS(ROW(),COLUMN()-2,4))*INDIRECT(ADDRESS(ROW(),COLUMN()-1,4))</f>
        <v>22400</v>
      </c>
      <c r="G1571" s="5"/>
      <c r="H1571" s="5"/>
      <c r="I1571" s="5"/>
      <c r="J1571" s="5"/>
    </row>
    <row r="1572" spans="1:10" ht="13.5" customHeight="1" x14ac:dyDescent="0.2">
      <c r="A1572" s="78">
        <v>82121505</v>
      </c>
      <c r="B1572" s="64" t="str">
        <f ca="1">IFERROR(INDEX(UNSPSCDes,MATCH(INDIRECT(ADDRESS(ROW(),COLUMN()-1,4)),UNSPSCCode,0)),"")</f>
        <v>Impresión promocional o publicitaria</v>
      </c>
      <c r="C1572" s="63" t="s">
        <v>1449</v>
      </c>
      <c r="D1572" s="63">
        <v>57</v>
      </c>
      <c r="E1572" s="66">
        <v>400</v>
      </c>
      <c r="F1572" s="65">
        <f ca="1">INDIRECT(ADDRESS(ROW(),COLUMN()-2,4))*INDIRECT(ADDRESS(ROW(),COLUMN()-1,4))</f>
        <v>22800</v>
      </c>
      <c r="G1572" s="5"/>
      <c r="H1572" s="5"/>
      <c r="I1572" s="5"/>
      <c r="J1572" s="5"/>
    </row>
    <row r="1573" spans="1:10" ht="13.5" customHeight="1" x14ac:dyDescent="0.2">
      <c r="A1573" s="78">
        <v>82121504</v>
      </c>
      <c r="B1573" s="64" t="str">
        <f ca="1">IFERROR(INDEX(UNSPSCDes,MATCH(INDIRECT(ADDRESS(ROW(),COLUMN()-1,4)),UNSPSCCode,0)),"")</f>
        <v>Impresión tipográfica o por serigrafía</v>
      </c>
      <c r="C1573" s="63" t="s">
        <v>1449</v>
      </c>
      <c r="D1573" s="63">
        <v>49</v>
      </c>
      <c r="E1573" s="66">
        <v>200</v>
      </c>
      <c r="F1573" s="65">
        <f ca="1">INDIRECT(ADDRESS(ROW(),COLUMN()-2,4))*INDIRECT(ADDRESS(ROW(),COLUMN()-1,4))</f>
        <v>9800</v>
      </c>
      <c r="G1573" s="5"/>
      <c r="H1573" s="5"/>
      <c r="I1573" s="5"/>
      <c r="J1573" s="5"/>
    </row>
    <row r="1574" spans="1:10" ht="13.5" customHeight="1" x14ac:dyDescent="0.2">
      <c r="A1574" s="78">
        <v>14111509</v>
      </c>
      <c r="B1574" s="64" t="str">
        <f ca="1">IFERROR(INDEX(UNSPSCDes,MATCH(INDIRECT(ADDRESS(ROW(),COLUMN()-1,4)),UNSPSCCode,0)),"")</f>
        <v>Papel membreteado</v>
      </c>
      <c r="C1574" s="63" t="s">
        <v>8725</v>
      </c>
      <c r="D1574" s="63">
        <v>40</v>
      </c>
      <c r="E1574" s="66">
        <v>500</v>
      </c>
      <c r="F1574" s="65">
        <f ca="1">INDIRECT(ADDRESS(ROW(),COLUMN()-2,4))*INDIRECT(ADDRESS(ROW(),COLUMN()-1,4))</f>
        <v>20000</v>
      </c>
      <c r="G1574" s="5"/>
      <c r="H1574" s="5"/>
      <c r="I1574" s="5"/>
      <c r="J1574" s="5"/>
    </row>
    <row r="1575" spans="1:10" ht="14.1" customHeight="1" x14ac:dyDescent="0.2">
      <c r="A1575" s="5"/>
      <c r="B1575" s="5"/>
      <c r="C1575" s="5"/>
      <c r="D1575" s="5"/>
      <c r="E1575" s="68" t="s">
        <v>12550</v>
      </c>
      <c r="F1575" s="69">
        <f ca="1">SUM(Table397[MONTO TOTAL ESTIMADO])</f>
        <v>75000</v>
      </c>
      <c r="G1575" s="5"/>
      <c r="H1575" s="5" t="str">
        <f>C1564</f>
        <v>Servicios</v>
      </c>
      <c r="I1575" s="5" t="str">
        <f>E1564</f>
        <v>Sí</v>
      </c>
      <c r="J1575" s="5" t="str">
        <f>D1564</f>
        <v>Compras por debajo del Umbral</v>
      </c>
    </row>
    <row r="1576" spans="1:10" ht="14.1" customHeight="1" thickBot="1" x14ac:dyDescent="0.3"/>
    <row r="1577" spans="1:10" ht="33.75" customHeight="1" thickBot="1" x14ac:dyDescent="0.25">
      <c r="A1577" s="59" t="s">
        <v>16382</v>
      </c>
      <c r="B1577" s="59" t="s">
        <v>161</v>
      </c>
      <c r="C1577" s="59" t="s">
        <v>11724</v>
      </c>
      <c r="D1577" s="59" t="s">
        <v>14378</v>
      </c>
      <c r="E1577" s="59" t="s">
        <v>10962</v>
      </c>
      <c r="F1577" s="59" t="s">
        <v>11095</v>
      </c>
      <c r="G1577" s="5"/>
      <c r="H1577" s="5"/>
      <c r="I1577" s="5"/>
      <c r="J1577" s="5"/>
    </row>
    <row r="1578" spans="1:10" ht="13.5" customHeight="1" thickBot="1" x14ac:dyDescent="0.25">
      <c r="A1578" s="77" t="s">
        <v>18884</v>
      </c>
      <c r="B1578" s="77" t="s">
        <v>18883</v>
      </c>
      <c r="C1578" s="61" t="s">
        <v>6798</v>
      </c>
      <c r="D1578" s="61" t="s">
        <v>10171</v>
      </c>
      <c r="E1578" s="61" t="s">
        <v>8854</v>
      </c>
      <c r="F1578" s="61"/>
      <c r="G1578" s="5"/>
      <c r="H1578" s="5"/>
      <c r="I1578" s="5"/>
      <c r="J1578" s="5"/>
    </row>
    <row r="1579" spans="1:10" ht="14.1" customHeight="1" thickBot="1" x14ac:dyDescent="0.25">
      <c r="A1579" s="82" t="s">
        <v>14828</v>
      </c>
      <c r="B1579" s="62" t="s">
        <v>8528</v>
      </c>
      <c r="C1579" s="71">
        <v>43831</v>
      </c>
      <c r="D1579" s="82" t="s">
        <v>9385</v>
      </c>
      <c r="E1579" s="62" t="s">
        <v>13093</v>
      </c>
      <c r="F1579" s="61" t="s">
        <v>3080</v>
      </c>
      <c r="G1579" s="5"/>
      <c r="H1579" s="5"/>
      <c r="I1579" s="5"/>
      <c r="J1579" s="5"/>
    </row>
    <row r="1580" spans="1:10" ht="14.1" customHeight="1" thickBot="1" x14ac:dyDescent="0.25">
      <c r="A1580" s="83"/>
      <c r="B1580" s="62" t="s">
        <v>1786</v>
      </c>
      <c r="C1580" s="60">
        <f>IF(C1579="","",IF(AND(MONTH(C1579)&gt;=1,MONTH(C1579)&lt;=3),1,IF(AND(MONTH(C1579)&gt;=4,MONTH(C1579)&lt;=6),2,IF(AND(MONTH(C1579)&gt;=7,MONTH(C1579)&lt;=9),3,4))))</f>
        <v>1</v>
      </c>
      <c r="D1580" s="83"/>
      <c r="E1580" s="62" t="s">
        <v>2417</v>
      </c>
      <c r="F1580" s="61" t="s">
        <v>11112</v>
      </c>
      <c r="G1580" s="5"/>
      <c r="H1580" s="5"/>
      <c r="I1580" s="5"/>
      <c r="J1580" s="5"/>
    </row>
    <row r="1581" spans="1:10" ht="14.1" customHeight="1" thickBot="1" x14ac:dyDescent="0.25">
      <c r="A1581" s="83"/>
      <c r="B1581" s="62" t="s">
        <v>12942</v>
      </c>
      <c r="C1581" s="71">
        <v>43921</v>
      </c>
      <c r="D1581" s="83"/>
      <c r="E1581" s="62" t="s">
        <v>3073</v>
      </c>
      <c r="F1581" s="61" t="s">
        <v>11112</v>
      </c>
      <c r="G1581" s="5"/>
      <c r="H1581" s="5"/>
      <c r="I1581" s="5"/>
      <c r="J1581" s="5"/>
    </row>
    <row r="1582" spans="1:10" ht="14.1" customHeight="1" thickBot="1" x14ac:dyDescent="0.25">
      <c r="A1582" s="83"/>
      <c r="B1582" s="62" t="s">
        <v>1786</v>
      </c>
      <c r="C1582" s="60">
        <f>IF(C1581="","",IF(AND(MONTH(C1581)&gt;=1,MONTH(C1581)&lt;=3),1,IF(AND(MONTH(C1581)&gt;=4,MONTH(C1581)&lt;=6),2,IF(AND(MONTH(C1581)&gt;=7,MONTH(C1581)&lt;=9),3,4))))</f>
        <v>1</v>
      </c>
      <c r="D1582" s="83"/>
      <c r="E1582" s="62" t="s">
        <v>13192</v>
      </c>
      <c r="F1582" s="61" t="s">
        <v>11112</v>
      </c>
      <c r="G1582" s="5"/>
      <c r="H1582" s="5"/>
      <c r="I1582" s="5"/>
      <c r="J1582" s="5"/>
    </row>
    <row r="1583" spans="1:10" ht="14.1" customHeight="1" thickBot="1" x14ac:dyDescent="0.25">
      <c r="A1583" s="5"/>
      <c r="B1583" s="5"/>
      <c r="C1583" s="5"/>
      <c r="D1583" s="5"/>
      <c r="E1583" s="5"/>
      <c r="F1583" s="5"/>
      <c r="G1583" s="5"/>
      <c r="H1583" s="5"/>
      <c r="I1583" s="5"/>
      <c r="J1583" s="5"/>
    </row>
    <row r="1584" spans="1:10" ht="14.1" customHeight="1" thickBot="1" x14ac:dyDescent="0.25">
      <c r="A1584" s="67" t="s">
        <v>15735</v>
      </c>
      <c r="B1584" s="67" t="s">
        <v>16146</v>
      </c>
      <c r="C1584" s="67" t="s">
        <v>15641</v>
      </c>
      <c r="D1584" s="67" t="s">
        <v>15251</v>
      </c>
      <c r="E1584" s="67" t="s">
        <v>6932</v>
      </c>
      <c r="F1584" s="67" t="s">
        <v>15280</v>
      </c>
      <c r="G1584" s="5"/>
      <c r="H1584" s="5"/>
      <c r="I1584" s="5"/>
      <c r="J1584" s="5"/>
    </row>
    <row r="1585" spans="1:10" ht="13.5" customHeight="1" x14ac:dyDescent="0.2">
      <c r="A1585" s="78">
        <v>82141507</v>
      </c>
      <c r="B1585" s="64" t="str">
        <f ca="1">IFERROR(INDEX(UNSPSCDes,MATCH(INDIRECT(ADDRESS(ROW(),COLUMN()-1,4)),UNSPSCCode,0)),"")</f>
        <v>Servicios de diseño de serigrafía</v>
      </c>
      <c r="C1585" s="63" t="s">
        <v>1449</v>
      </c>
      <c r="D1585" s="63">
        <v>75</v>
      </c>
      <c r="E1585" s="66">
        <v>500</v>
      </c>
      <c r="F1585" s="65">
        <f ca="1">INDIRECT(ADDRESS(ROW(),COLUMN()-2,4))*INDIRECT(ADDRESS(ROW(),COLUMN()-1,4))</f>
        <v>37500</v>
      </c>
      <c r="G1585" s="5"/>
      <c r="H1585" s="5"/>
      <c r="I1585" s="5"/>
      <c r="J1585" s="5"/>
    </row>
    <row r="1586" spans="1:10" ht="13.5" customHeight="1" x14ac:dyDescent="0.2">
      <c r="A1586" s="78">
        <v>82141502</v>
      </c>
      <c r="B1586" s="64" t="str">
        <f ca="1">IFERROR(INDEX(UNSPSCDes,MATCH(INDIRECT(ADDRESS(ROW(),COLUMN()-1,4)),UNSPSCCode,0)),"")</f>
        <v>Diseño o gráficos artísticos</v>
      </c>
      <c r="C1586" s="63" t="s">
        <v>1449</v>
      </c>
      <c r="D1586" s="63">
        <v>75</v>
      </c>
      <c r="E1586" s="66">
        <v>500</v>
      </c>
      <c r="F1586" s="65">
        <f ca="1">INDIRECT(ADDRESS(ROW(),COLUMN()-2,4))*INDIRECT(ADDRESS(ROW(),COLUMN()-1,4))</f>
        <v>37500</v>
      </c>
      <c r="G1586" s="5"/>
      <c r="H1586" s="5"/>
      <c r="I1586" s="5"/>
      <c r="J1586" s="5"/>
    </row>
    <row r="1587" spans="1:10" ht="14.1" customHeight="1" x14ac:dyDescent="0.2">
      <c r="A1587" s="5"/>
      <c r="B1587" s="5"/>
      <c r="C1587" s="5"/>
      <c r="D1587" s="5"/>
      <c r="E1587" s="68" t="s">
        <v>12550</v>
      </c>
      <c r="F1587" s="69">
        <f ca="1">SUM(Table398[MONTO TOTAL ESTIMADO])</f>
        <v>75000</v>
      </c>
      <c r="G1587" s="5"/>
      <c r="H1587" s="5" t="str">
        <f>C1578</f>
        <v>Servicios</v>
      </c>
      <c r="I1587" s="5" t="str">
        <f>E1578</f>
        <v>Sí</v>
      </c>
      <c r="J1587" s="5" t="str">
        <f>D1578</f>
        <v>Compras por debajo del Umbral</v>
      </c>
    </row>
    <row r="1588" spans="1:10" ht="14.1" customHeight="1" thickBot="1" x14ac:dyDescent="0.3"/>
    <row r="1589" spans="1:10" ht="33.75" customHeight="1" thickBot="1" x14ac:dyDescent="0.25">
      <c r="A1589" s="59" t="s">
        <v>16382</v>
      </c>
      <c r="B1589" s="59" t="s">
        <v>161</v>
      </c>
      <c r="C1589" s="59" t="s">
        <v>11724</v>
      </c>
      <c r="D1589" s="59" t="s">
        <v>14378</v>
      </c>
      <c r="E1589" s="59" t="s">
        <v>10962</v>
      </c>
      <c r="F1589" s="59" t="s">
        <v>11095</v>
      </c>
      <c r="G1589" s="5"/>
      <c r="H1589" s="5"/>
      <c r="I1589" s="5"/>
      <c r="J1589" s="5"/>
    </row>
    <row r="1590" spans="1:10" ht="13.5" customHeight="1" thickBot="1" x14ac:dyDescent="0.25">
      <c r="A1590" s="77" t="s">
        <v>18884</v>
      </c>
      <c r="B1590" s="77" t="s">
        <v>18883</v>
      </c>
      <c r="C1590" s="61" t="s">
        <v>6798</v>
      </c>
      <c r="D1590" s="61" t="s">
        <v>10171</v>
      </c>
      <c r="E1590" s="61" t="s">
        <v>8854</v>
      </c>
      <c r="F1590" s="61"/>
      <c r="G1590" s="5"/>
      <c r="H1590" s="5"/>
      <c r="I1590" s="5"/>
      <c r="J1590" s="5"/>
    </row>
    <row r="1591" spans="1:10" ht="14.1" customHeight="1" thickBot="1" x14ac:dyDescent="0.25">
      <c r="A1591" s="82" t="s">
        <v>14828</v>
      </c>
      <c r="B1591" s="62" t="s">
        <v>8528</v>
      </c>
      <c r="C1591" s="71">
        <v>43922</v>
      </c>
      <c r="D1591" s="82" t="s">
        <v>9385</v>
      </c>
      <c r="E1591" s="62" t="s">
        <v>13093</v>
      </c>
      <c r="F1591" s="61" t="s">
        <v>3080</v>
      </c>
      <c r="G1591" s="5"/>
      <c r="H1591" s="5"/>
      <c r="I1591" s="5"/>
      <c r="J1591" s="5"/>
    </row>
    <row r="1592" spans="1:10" ht="14.1" customHeight="1" thickBot="1" x14ac:dyDescent="0.25">
      <c r="A1592" s="83"/>
      <c r="B1592" s="62" t="s">
        <v>1786</v>
      </c>
      <c r="C1592" s="60">
        <f>IF(C1591="","",IF(AND(MONTH(C1591)&gt;=1,MONTH(C1591)&lt;=3),1,IF(AND(MONTH(C1591)&gt;=4,MONTH(C1591)&lt;=6),2,IF(AND(MONTH(C1591)&gt;=7,MONTH(C1591)&lt;=9),3,4))))</f>
        <v>2</v>
      </c>
      <c r="D1592" s="83"/>
      <c r="E1592" s="62" t="s">
        <v>2417</v>
      </c>
      <c r="F1592" s="61" t="s">
        <v>11112</v>
      </c>
      <c r="G1592" s="5"/>
      <c r="H1592" s="5"/>
      <c r="I1592" s="5"/>
      <c r="J1592" s="5"/>
    </row>
    <row r="1593" spans="1:10" ht="14.1" customHeight="1" thickBot="1" x14ac:dyDescent="0.25">
      <c r="A1593" s="83"/>
      <c r="B1593" s="62" t="s">
        <v>12942</v>
      </c>
      <c r="C1593" s="71">
        <v>44012</v>
      </c>
      <c r="D1593" s="83"/>
      <c r="E1593" s="62" t="s">
        <v>3073</v>
      </c>
      <c r="F1593" s="61" t="s">
        <v>11112</v>
      </c>
      <c r="G1593" s="5"/>
      <c r="H1593" s="5"/>
      <c r="I1593" s="5"/>
      <c r="J1593" s="5"/>
    </row>
    <row r="1594" spans="1:10" ht="14.1" customHeight="1" thickBot="1" x14ac:dyDescent="0.25">
      <c r="A1594" s="83"/>
      <c r="B1594" s="62" t="s">
        <v>1786</v>
      </c>
      <c r="C1594" s="60">
        <f>IF(C1593="","",IF(AND(MONTH(C1593)&gt;=1,MONTH(C1593)&lt;=3),1,IF(AND(MONTH(C1593)&gt;=4,MONTH(C1593)&lt;=6),2,IF(AND(MONTH(C1593)&gt;=7,MONTH(C1593)&lt;=9),3,4))))</f>
        <v>2</v>
      </c>
      <c r="D1594" s="83"/>
      <c r="E1594" s="62" t="s">
        <v>13192</v>
      </c>
      <c r="F1594" s="61" t="s">
        <v>11112</v>
      </c>
      <c r="G1594" s="5"/>
      <c r="H1594" s="5"/>
      <c r="I1594" s="5"/>
      <c r="J1594" s="5"/>
    </row>
    <row r="1595" spans="1:10" ht="14.1" customHeight="1" thickBot="1" x14ac:dyDescent="0.25">
      <c r="A1595" s="5"/>
      <c r="B1595" s="5"/>
      <c r="C1595" s="5"/>
      <c r="D1595" s="5"/>
      <c r="E1595" s="5"/>
      <c r="F1595" s="5"/>
      <c r="G1595" s="5"/>
      <c r="H1595" s="5"/>
      <c r="I1595" s="5"/>
      <c r="J1595" s="5"/>
    </row>
    <row r="1596" spans="1:10" ht="14.1" customHeight="1" thickBot="1" x14ac:dyDescent="0.25">
      <c r="A1596" s="67" t="s">
        <v>15735</v>
      </c>
      <c r="B1596" s="67" t="s">
        <v>16146</v>
      </c>
      <c r="C1596" s="67" t="s">
        <v>15641</v>
      </c>
      <c r="D1596" s="67" t="s">
        <v>15251</v>
      </c>
      <c r="E1596" s="67" t="s">
        <v>6932</v>
      </c>
      <c r="F1596" s="67" t="s">
        <v>15280</v>
      </c>
      <c r="G1596" s="5"/>
      <c r="H1596" s="5"/>
      <c r="I1596" s="5"/>
      <c r="J1596" s="5"/>
    </row>
    <row r="1597" spans="1:10" ht="13.5" customHeight="1" x14ac:dyDescent="0.2">
      <c r="A1597" s="78">
        <v>82141507</v>
      </c>
      <c r="B1597" s="64" t="str">
        <f ca="1">IFERROR(INDEX(UNSPSCDes,MATCH(INDIRECT(ADDRESS(ROW(),COLUMN()-1,4)),UNSPSCCode,0)),"")</f>
        <v>Servicios de diseño de serigrafía</v>
      </c>
      <c r="C1597" s="63" t="s">
        <v>1449</v>
      </c>
      <c r="D1597" s="63">
        <v>75</v>
      </c>
      <c r="E1597" s="66">
        <v>500</v>
      </c>
      <c r="F1597" s="65">
        <f ca="1">INDIRECT(ADDRESS(ROW(),COLUMN()-2,4))*INDIRECT(ADDRESS(ROW(),COLUMN()-1,4))</f>
        <v>37500</v>
      </c>
      <c r="G1597" s="5"/>
      <c r="H1597" s="5"/>
      <c r="I1597" s="5"/>
      <c r="J1597" s="5"/>
    </row>
    <row r="1598" spans="1:10" ht="13.5" customHeight="1" x14ac:dyDescent="0.2">
      <c r="A1598" s="78">
        <v>82141502</v>
      </c>
      <c r="B1598" s="64" t="str">
        <f ca="1">IFERROR(INDEX(UNSPSCDes,MATCH(INDIRECT(ADDRESS(ROW(),COLUMN()-1,4)),UNSPSCCode,0)),"")</f>
        <v>Diseño o gráficos artísticos</v>
      </c>
      <c r="C1598" s="63" t="s">
        <v>1449</v>
      </c>
      <c r="D1598" s="63">
        <v>75</v>
      </c>
      <c r="E1598" s="66">
        <v>500</v>
      </c>
      <c r="F1598" s="65">
        <f ca="1">INDIRECT(ADDRESS(ROW(),COLUMN()-2,4))*INDIRECT(ADDRESS(ROW(),COLUMN()-1,4))</f>
        <v>37500</v>
      </c>
      <c r="G1598" s="5"/>
      <c r="H1598" s="5"/>
      <c r="I1598" s="5"/>
      <c r="J1598" s="5"/>
    </row>
    <row r="1599" spans="1:10" ht="14.1" customHeight="1" x14ac:dyDescent="0.2">
      <c r="A1599" s="5"/>
      <c r="B1599" s="5"/>
      <c r="C1599" s="5"/>
      <c r="D1599" s="5"/>
      <c r="E1599" s="68" t="s">
        <v>12550</v>
      </c>
      <c r="F1599" s="69">
        <f ca="1">SUM(Table399[MONTO TOTAL ESTIMADO])</f>
        <v>75000</v>
      </c>
      <c r="G1599" s="5"/>
      <c r="H1599" s="5" t="str">
        <f>C1590</f>
        <v>Servicios</v>
      </c>
      <c r="I1599" s="5" t="str">
        <f>E1590</f>
        <v>Sí</v>
      </c>
      <c r="J1599" s="5" t="str">
        <f>D1590</f>
        <v>Compras por debajo del Umbral</v>
      </c>
    </row>
    <row r="1600" spans="1:10" ht="14.1" customHeight="1" thickBot="1" x14ac:dyDescent="0.3"/>
    <row r="1601" spans="1:10" ht="33.75" customHeight="1" thickBot="1" x14ac:dyDescent="0.25">
      <c r="A1601" s="59" t="s">
        <v>16382</v>
      </c>
      <c r="B1601" s="59" t="s">
        <v>161</v>
      </c>
      <c r="C1601" s="59" t="s">
        <v>11724</v>
      </c>
      <c r="D1601" s="59" t="s">
        <v>14378</v>
      </c>
      <c r="E1601" s="59" t="s">
        <v>10962</v>
      </c>
      <c r="F1601" s="59" t="s">
        <v>11095</v>
      </c>
      <c r="G1601" s="5"/>
      <c r="H1601" s="5"/>
      <c r="I1601" s="5"/>
      <c r="J1601" s="5"/>
    </row>
    <row r="1602" spans="1:10" ht="13.5" customHeight="1" thickBot="1" x14ac:dyDescent="0.25">
      <c r="A1602" s="77" t="s">
        <v>18884</v>
      </c>
      <c r="B1602" s="77" t="s">
        <v>18883</v>
      </c>
      <c r="C1602" s="61" t="s">
        <v>6798</v>
      </c>
      <c r="D1602" s="61" t="s">
        <v>10171</v>
      </c>
      <c r="E1602" s="61" t="s">
        <v>8854</v>
      </c>
      <c r="F1602" s="61"/>
      <c r="G1602" s="5"/>
      <c r="H1602" s="5"/>
      <c r="I1602" s="5"/>
      <c r="J1602" s="5"/>
    </row>
    <row r="1603" spans="1:10" ht="14.1" customHeight="1" thickBot="1" x14ac:dyDescent="0.25">
      <c r="A1603" s="82" t="s">
        <v>14828</v>
      </c>
      <c r="B1603" s="62" t="s">
        <v>8528</v>
      </c>
      <c r="C1603" s="71">
        <v>44013</v>
      </c>
      <c r="D1603" s="82" t="s">
        <v>9385</v>
      </c>
      <c r="E1603" s="62" t="s">
        <v>13093</v>
      </c>
      <c r="F1603" s="61" t="s">
        <v>3080</v>
      </c>
      <c r="G1603" s="5"/>
      <c r="H1603" s="5"/>
      <c r="I1603" s="5"/>
      <c r="J1603" s="5"/>
    </row>
    <row r="1604" spans="1:10" ht="14.1" customHeight="1" thickBot="1" x14ac:dyDescent="0.25">
      <c r="A1604" s="83"/>
      <c r="B1604" s="62" t="s">
        <v>1786</v>
      </c>
      <c r="C1604" s="60">
        <f>IF(C1603="","",IF(AND(MONTH(C1603)&gt;=1,MONTH(C1603)&lt;=3),1,IF(AND(MONTH(C1603)&gt;=4,MONTH(C1603)&lt;=6),2,IF(AND(MONTH(C1603)&gt;=7,MONTH(C1603)&lt;=9),3,4))))</f>
        <v>3</v>
      </c>
      <c r="D1604" s="83"/>
      <c r="E1604" s="62" t="s">
        <v>2417</v>
      </c>
      <c r="F1604" s="61" t="s">
        <v>11112</v>
      </c>
      <c r="G1604" s="5"/>
      <c r="H1604" s="5"/>
      <c r="I1604" s="5"/>
      <c r="J1604" s="5"/>
    </row>
    <row r="1605" spans="1:10" ht="14.1" customHeight="1" thickBot="1" x14ac:dyDescent="0.25">
      <c r="A1605" s="83"/>
      <c r="B1605" s="62" t="s">
        <v>12942</v>
      </c>
      <c r="C1605" s="71">
        <v>44104</v>
      </c>
      <c r="D1605" s="83"/>
      <c r="E1605" s="62" t="s">
        <v>3073</v>
      </c>
      <c r="F1605" s="61" t="s">
        <v>11112</v>
      </c>
      <c r="G1605" s="5"/>
      <c r="H1605" s="5"/>
      <c r="I1605" s="5"/>
      <c r="J1605" s="5"/>
    </row>
    <row r="1606" spans="1:10" ht="14.1" customHeight="1" thickBot="1" x14ac:dyDescent="0.25">
      <c r="A1606" s="83"/>
      <c r="B1606" s="62" t="s">
        <v>1786</v>
      </c>
      <c r="C1606" s="60">
        <f>IF(C1605="","",IF(AND(MONTH(C1605)&gt;=1,MONTH(C1605)&lt;=3),1,IF(AND(MONTH(C1605)&gt;=4,MONTH(C1605)&lt;=6),2,IF(AND(MONTH(C1605)&gt;=7,MONTH(C1605)&lt;=9),3,4))))</f>
        <v>3</v>
      </c>
      <c r="D1606" s="83"/>
      <c r="E1606" s="62" t="s">
        <v>13192</v>
      </c>
      <c r="F1606" s="61" t="s">
        <v>11112</v>
      </c>
      <c r="G1606" s="5"/>
      <c r="H1606" s="5"/>
      <c r="I1606" s="5"/>
      <c r="J1606" s="5"/>
    </row>
    <row r="1607" spans="1:10" ht="14.1" customHeight="1" thickBot="1" x14ac:dyDescent="0.25">
      <c r="A1607" s="5"/>
      <c r="B1607" s="5"/>
      <c r="C1607" s="5"/>
      <c r="D1607" s="5"/>
      <c r="E1607" s="5"/>
      <c r="F1607" s="5"/>
      <c r="G1607" s="5"/>
      <c r="H1607" s="5"/>
      <c r="I1607" s="5"/>
      <c r="J1607" s="5"/>
    </row>
    <row r="1608" spans="1:10" ht="14.1" customHeight="1" thickBot="1" x14ac:dyDescent="0.25">
      <c r="A1608" s="67" t="s">
        <v>15735</v>
      </c>
      <c r="B1608" s="67" t="s">
        <v>16146</v>
      </c>
      <c r="C1608" s="67" t="s">
        <v>15641</v>
      </c>
      <c r="D1608" s="67" t="s">
        <v>15251</v>
      </c>
      <c r="E1608" s="67" t="s">
        <v>6932</v>
      </c>
      <c r="F1608" s="67" t="s">
        <v>15280</v>
      </c>
      <c r="G1608" s="5"/>
      <c r="H1608" s="5"/>
      <c r="I1608" s="5"/>
      <c r="J1608" s="5"/>
    </row>
    <row r="1609" spans="1:10" ht="13.5" customHeight="1" x14ac:dyDescent="0.2">
      <c r="A1609" s="78">
        <v>82141504</v>
      </c>
      <c r="B1609" s="64" t="str">
        <f ca="1">IFERROR(INDEX(UNSPSCDes,MATCH(INDIRECT(ADDRESS(ROW(),COLUMN()-1,4)),UNSPSCCode,0)),"")</f>
        <v>Servicios de diseño de gráficos o gráficas</v>
      </c>
      <c r="C1609" s="63" t="s">
        <v>1449</v>
      </c>
      <c r="D1609" s="63">
        <v>75</v>
      </c>
      <c r="E1609" s="66">
        <v>500</v>
      </c>
      <c r="F1609" s="65">
        <f ca="1">INDIRECT(ADDRESS(ROW(),COLUMN()-2,4))*INDIRECT(ADDRESS(ROW(),COLUMN()-1,4))</f>
        <v>37500</v>
      </c>
      <c r="G1609" s="5"/>
      <c r="H1609" s="5"/>
      <c r="I1609" s="5"/>
      <c r="J1609" s="5"/>
    </row>
    <row r="1610" spans="1:10" ht="13.5" customHeight="1" x14ac:dyDescent="0.2">
      <c r="A1610" s="78">
        <v>82141502</v>
      </c>
      <c r="B1610" s="64" t="str">
        <f ca="1">IFERROR(INDEX(UNSPSCDes,MATCH(INDIRECT(ADDRESS(ROW(),COLUMN()-1,4)),UNSPSCCode,0)),"")</f>
        <v>Diseño o gráficos artísticos</v>
      </c>
      <c r="C1610" s="63" t="s">
        <v>1449</v>
      </c>
      <c r="D1610" s="63">
        <v>75</v>
      </c>
      <c r="E1610" s="66">
        <v>500</v>
      </c>
      <c r="F1610" s="65">
        <f ca="1">INDIRECT(ADDRESS(ROW(),COLUMN()-2,4))*INDIRECT(ADDRESS(ROW(),COLUMN()-1,4))</f>
        <v>37500</v>
      </c>
      <c r="G1610" s="5"/>
      <c r="H1610" s="5"/>
      <c r="I1610" s="5"/>
      <c r="J1610" s="5"/>
    </row>
    <row r="1611" spans="1:10" ht="14.1" customHeight="1" x14ac:dyDescent="0.2">
      <c r="A1611" s="5"/>
      <c r="B1611" s="5"/>
      <c r="C1611" s="5"/>
      <c r="D1611" s="5"/>
      <c r="E1611" s="68" t="s">
        <v>12550</v>
      </c>
      <c r="F1611" s="69">
        <f ca="1">SUM(Table3100[MONTO TOTAL ESTIMADO])</f>
        <v>75000</v>
      </c>
      <c r="G1611" s="5"/>
      <c r="H1611" s="5" t="str">
        <f>C1602</f>
        <v>Servicios</v>
      </c>
      <c r="I1611" s="5" t="str">
        <f>E1602</f>
        <v>Sí</v>
      </c>
      <c r="J1611" s="5" t="str">
        <f>D1602</f>
        <v>Compras por debajo del Umbral</v>
      </c>
    </row>
    <row r="1612" spans="1:10" ht="14.1" customHeight="1" thickBot="1" x14ac:dyDescent="0.3"/>
    <row r="1613" spans="1:10" ht="33.75" customHeight="1" thickBot="1" x14ac:dyDescent="0.25">
      <c r="A1613" s="59" t="s">
        <v>16382</v>
      </c>
      <c r="B1613" s="59" t="s">
        <v>161</v>
      </c>
      <c r="C1613" s="59" t="s">
        <v>11724</v>
      </c>
      <c r="D1613" s="59" t="s">
        <v>14378</v>
      </c>
      <c r="E1613" s="59" t="s">
        <v>10962</v>
      </c>
      <c r="F1613" s="59" t="s">
        <v>11095</v>
      </c>
      <c r="G1613" s="5"/>
      <c r="H1613" s="5"/>
      <c r="I1613" s="5"/>
      <c r="J1613" s="5"/>
    </row>
    <row r="1614" spans="1:10" ht="13.5" customHeight="1" thickBot="1" x14ac:dyDescent="0.25">
      <c r="A1614" s="77" t="s">
        <v>18884</v>
      </c>
      <c r="B1614" s="77" t="s">
        <v>18883</v>
      </c>
      <c r="C1614" s="61" t="s">
        <v>6798</v>
      </c>
      <c r="D1614" s="61" t="s">
        <v>10171</v>
      </c>
      <c r="E1614" s="61" t="s">
        <v>8854</v>
      </c>
      <c r="F1614" s="61"/>
      <c r="G1614" s="5"/>
      <c r="H1614" s="5"/>
      <c r="I1614" s="5"/>
      <c r="J1614" s="5"/>
    </row>
    <row r="1615" spans="1:10" ht="14.1" customHeight="1" thickBot="1" x14ac:dyDescent="0.25">
      <c r="A1615" s="82" t="s">
        <v>14828</v>
      </c>
      <c r="B1615" s="62" t="s">
        <v>8528</v>
      </c>
      <c r="C1615" s="71">
        <v>44105</v>
      </c>
      <c r="D1615" s="82" t="s">
        <v>9385</v>
      </c>
      <c r="E1615" s="62" t="s">
        <v>13093</v>
      </c>
      <c r="F1615" s="61" t="s">
        <v>3080</v>
      </c>
      <c r="G1615" s="5"/>
      <c r="H1615" s="5"/>
      <c r="I1615" s="5"/>
      <c r="J1615" s="5"/>
    </row>
    <row r="1616" spans="1:10" ht="14.1" customHeight="1" thickBot="1" x14ac:dyDescent="0.25">
      <c r="A1616" s="83"/>
      <c r="B1616" s="62" t="s">
        <v>1786</v>
      </c>
      <c r="C1616" s="60">
        <f>IF(C1615="","",IF(AND(MONTH(C1615)&gt;=1,MONTH(C1615)&lt;=3),1,IF(AND(MONTH(C1615)&gt;=4,MONTH(C1615)&lt;=6),2,IF(AND(MONTH(C1615)&gt;=7,MONTH(C1615)&lt;=9),3,4))))</f>
        <v>4</v>
      </c>
      <c r="D1616" s="83"/>
      <c r="E1616" s="62" t="s">
        <v>2417</v>
      </c>
      <c r="F1616" s="61" t="s">
        <v>11112</v>
      </c>
      <c r="G1616" s="5"/>
      <c r="H1616" s="5"/>
      <c r="I1616" s="5"/>
      <c r="J1616" s="5"/>
    </row>
    <row r="1617" spans="1:10" ht="14.1" customHeight="1" thickBot="1" x14ac:dyDescent="0.25">
      <c r="A1617" s="83"/>
      <c r="B1617" s="62" t="s">
        <v>12942</v>
      </c>
      <c r="C1617" s="71">
        <v>44196</v>
      </c>
      <c r="D1617" s="83"/>
      <c r="E1617" s="62" t="s">
        <v>3073</v>
      </c>
      <c r="F1617" s="61" t="s">
        <v>11112</v>
      </c>
      <c r="G1617" s="5"/>
      <c r="H1617" s="5"/>
      <c r="I1617" s="5"/>
      <c r="J1617" s="5"/>
    </row>
    <row r="1618" spans="1:10" ht="14.1" customHeight="1" thickBot="1" x14ac:dyDescent="0.25">
      <c r="A1618" s="83"/>
      <c r="B1618" s="62" t="s">
        <v>1786</v>
      </c>
      <c r="C1618" s="60">
        <f>IF(C1617="","",IF(AND(MONTH(C1617)&gt;=1,MONTH(C1617)&lt;=3),1,IF(AND(MONTH(C1617)&gt;=4,MONTH(C1617)&lt;=6),2,IF(AND(MONTH(C1617)&gt;=7,MONTH(C1617)&lt;=9),3,4))))</f>
        <v>4</v>
      </c>
      <c r="D1618" s="83"/>
      <c r="E1618" s="62" t="s">
        <v>13192</v>
      </c>
      <c r="F1618" s="61" t="s">
        <v>11112</v>
      </c>
      <c r="G1618" s="5"/>
      <c r="H1618" s="5"/>
      <c r="I1618" s="5"/>
      <c r="J1618" s="5"/>
    </row>
    <row r="1619" spans="1:10" ht="14.1" customHeight="1" thickBot="1" x14ac:dyDescent="0.25">
      <c r="A1619" s="5"/>
      <c r="B1619" s="5"/>
      <c r="C1619" s="5"/>
      <c r="D1619" s="5"/>
      <c r="E1619" s="5"/>
      <c r="F1619" s="5"/>
      <c r="G1619" s="5"/>
      <c r="H1619" s="5"/>
      <c r="I1619" s="5"/>
      <c r="J1619" s="5"/>
    </row>
    <row r="1620" spans="1:10" ht="14.1" customHeight="1" thickBot="1" x14ac:dyDescent="0.25">
      <c r="A1620" s="67" t="s">
        <v>15735</v>
      </c>
      <c r="B1620" s="67" t="s">
        <v>16146</v>
      </c>
      <c r="C1620" s="67" t="s">
        <v>15641</v>
      </c>
      <c r="D1620" s="67" t="s">
        <v>15251</v>
      </c>
      <c r="E1620" s="67" t="s">
        <v>6932</v>
      </c>
      <c r="F1620" s="67" t="s">
        <v>15280</v>
      </c>
      <c r="G1620" s="5"/>
      <c r="H1620" s="5"/>
      <c r="I1620" s="5"/>
      <c r="J1620" s="5"/>
    </row>
    <row r="1621" spans="1:10" ht="13.5" customHeight="1" x14ac:dyDescent="0.2">
      <c r="A1621" s="78">
        <v>82141504</v>
      </c>
      <c r="B1621" s="64" t="str">
        <f ca="1">IFERROR(INDEX(UNSPSCDes,MATCH(INDIRECT(ADDRESS(ROW(),COLUMN()-1,4)),UNSPSCCode,0)),"")</f>
        <v>Servicios de diseño de gráficos o gráficas</v>
      </c>
      <c r="C1621" s="63" t="s">
        <v>1449</v>
      </c>
      <c r="D1621" s="63">
        <v>75</v>
      </c>
      <c r="E1621" s="66">
        <v>500</v>
      </c>
      <c r="F1621" s="65">
        <f ca="1">INDIRECT(ADDRESS(ROW(),COLUMN()-2,4))*INDIRECT(ADDRESS(ROW(),COLUMN()-1,4))</f>
        <v>37500</v>
      </c>
      <c r="G1621" s="5"/>
      <c r="H1621" s="5"/>
      <c r="I1621" s="5"/>
      <c r="J1621" s="5"/>
    </row>
    <row r="1622" spans="1:10" ht="13.5" customHeight="1" x14ac:dyDescent="0.2">
      <c r="A1622" s="78">
        <v>82141502</v>
      </c>
      <c r="B1622" s="64" t="str">
        <f ca="1">IFERROR(INDEX(UNSPSCDes,MATCH(INDIRECT(ADDRESS(ROW(),COLUMN()-1,4)),UNSPSCCode,0)),"")</f>
        <v>Diseño o gráficos artísticos</v>
      </c>
      <c r="C1622" s="63" t="s">
        <v>1449</v>
      </c>
      <c r="D1622" s="63">
        <v>75</v>
      </c>
      <c r="E1622" s="66">
        <v>500</v>
      </c>
      <c r="F1622" s="65">
        <f ca="1">INDIRECT(ADDRESS(ROW(),COLUMN()-2,4))*INDIRECT(ADDRESS(ROW(),COLUMN()-1,4))</f>
        <v>37500</v>
      </c>
      <c r="G1622" s="5"/>
      <c r="H1622" s="5"/>
      <c r="I1622" s="5"/>
      <c r="J1622" s="5"/>
    </row>
    <row r="1623" spans="1:10" ht="14.1" customHeight="1" x14ac:dyDescent="0.2">
      <c r="A1623" s="5"/>
      <c r="B1623" s="5"/>
      <c r="C1623" s="5"/>
      <c r="D1623" s="5"/>
      <c r="E1623" s="68" t="s">
        <v>12550</v>
      </c>
      <c r="F1623" s="69">
        <f ca="1">SUM(Table3101[MONTO TOTAL ESTIMADO])</f>
        <v>75000</v>
      </c>
      <c r="G1623" s="5"/>
      <c r="H1623" s="5" t="str">
        <f>C1614</f>
        <v>Servicios</v>
      </c>
      <c r="I1623" s="5" t="str">
        <f>E1614</f>
        <v>Sí</v>
      </c>
      <c r="J1623" s="5" t="str">
        <f>D1614</f>
        <v>Compras por debajo del Umbral</v>
      </c>
    </row>
    <row r="1624" spans="1:10" ht="14.1" customHeight="1" thickBot="1" x14ac:dyDescent="0.3"/>
    <row r="1625" spans="1:10" ht="33.75" customHeight="1" thickBot="1" x14ac:dyDescent="0.25">
      <c r="A1625" s="59" t="s">
        <v>16382</v>
      </c>
      <c r="B1625" s="59" t="s">
        <v>161</v>
      </c>
      <c r="C1625" s="59" t="s">
        <v>11724</v>
      </c>
      <c r="D1625" s="59" t="s">
        <v>14378</v>
      </c>
      <c r="E1625" s="59" t="s">
        <v>10962</v>
      </c>
      <c r="F1625" s="59" t="s">
        <v>11095</v>
      </c>
      <c r="G1625" s="5"/>
      <c r="H1625" s="5"/>
      <c r="I1625" s="5"/>
      <c r="J1625" s="5"/>
    </row>
    <row r="1626" spans="1:10" ht="13.5" customHeight="1" thickBot="1" x14ac:dyDescent="0.25">
      <c r="A1626" s="77" t="s">
        <v>18885</v>
      </c>
      <c r="B1626" s="77" t="s">
        <v>18886</v>
      </c>
      <c r="C1626" s="61" t="s">
        <v>17797</v>
      </c>
      <c r="D1626" s="61" t="s">
        <v>17482</v>
      </c>
      <c r="E1626" s="61" t="s">
        <v>8854</v>
      </c>
      <c r="F1626" s="61"/>
      <c r="G1626" s="5"/>
      <c r="H1626" s="5"/>
      <c r="I1626" s="5"/>
      <c r="J1626" s="5"/>
    </row>
    <row r="1627" spans="1:10" ht="14.1" customHeight="1" thickBot="1" x14ac:dyDescent="0.25">
      <c r="A1627" s="82" t="s">
        <v>14828</v>
      </c>
      <c r="B1627" s="62" t="s">
        <v>8528</v>
      </c>
      <c r="C1627" s="71">
        <v>43831</v>
      </c>
      <c r="D1627" s="82" t="s">
        <v>9385</v>
      </c>
      <c r="E1627" s="62" t="s">
        <v>13093</v>
      </c>
      <c r="F1627" s="61" t="s">
        <v>3080</v>
      </c>
      <c r="G1627" s="5"/>
      <c r="H1627" s="5"/>
      <c r="I1627" s="5"/>
      <c r="J1627" s="5"/>
    </row>
    <row r="1628" spans="1:10" ht="14.1" customHeight="1" thickBot="1" x14ac:dyDescent="0.25">
      <c r="A1628" s="83"/>
      <c r="B1628" s="62" t="s">
        <v>1786</v>
      </c>
      <c r="C1628" s="60">
        <f>IF(C1627="","",IF(AND(MONTH(C1627)&gt;=1,MONTH(C1627)&lt;=3),1,IF(AND(MONTH(C1627)&gt;=4,MONTH(C1627)&lt;=6),2,IF(AND(MONTH(C1627)&gt;=7,MONTH(C1627)&lt;=9),3,4))))</f>
        <v>1</v>
      </c>
      <c r="D1628" s="83"/>
      <c r="E1628" s="62" t="s">
        <v>2417</v>
      </c>
      <c r="F1628" s="61" t="s">
        <v>11112</v>
      </c>
      <c r="G1628" s="5"/>
      <c r="H1628" s="5"/>
      <c r="I1628" s="5"/>
      <c r="J1628" s="5"/>
    </row>
    <row r="1629" spans="1:10" ht="14.1" customHeight="1" thickBot="1" x14ac:dyDescent="0.25">
      <c r="A1629" s="83"/>
      <c r="B1629" s="62" t="s">
        <v>12942</v>
      </c>
      <c r="C1629" s="71">
        <v>43921</v>
      </c>
      <c r="D1629" s="83"/>
      <c r="E1629" s="62" t="s">
        <v>3073</v>
      </c>
      <c r="F1629" s="61" t="s">
        <v>11112</v>
      </c>
      <c r="G1629" s="5"/>
      <c r="H1629" s="5"/>
      <c r="I1629" s="5"/>
      <c r="J1629" s="5"/>
    </row>
    <row r="1630" spans="1:10" ht="14.1" customHeight="1" thickBot="1" x14ac:dyDescent="0.25">
      <c r="A1630" s="83"/>
      <c r="B1630" s="62" t="s">
        <v>1786</v>
      </c>
      <c r="C1630" s="60">
        <f>IF(C1629="","",IF(AND(MONTH(C1629)&gt;=1,MONTH(C1629)&lt;=3),1,IF(AND(MONTH(C1629)&gt;=4,MONTH(C1629)&lt;=6),2,IF(AND(MONTH(C1629)&gt;=7,MONTH(C1629)&lt;=9),3,4))))</f>
        <v>1</v>
      </c>
      <c r="D1630" s="83"/>
      <c r="E1630" s="62" t="s">
        <v>13192</v>
      </c>
      <c r="F1630" s="61" t="s">
        <v>11112</v>
      </c>
      <c r="G1630" s="5"/>
      <c r="H1630" s="5"/>
      <c r="I1630" s="5"/>
      <c r="J1630" s="5"/>
    </row>
    <row r="1631" spans="1:10" ht="14.1" customHeight="1" thickBot="1" x14ac:dyDescent="0.25">
      <c r="A1631" s="5"/>
      <c r="B1631" s="5"/>
      <c r="C1631" s="5"/>
      <c r="D1631" s="5"/>
      <c r="E1631" s="5"/>
      <c r="F1631" s="5"/>
      <c r="G1631" s="5"/>
      <c r="H1631" s="5"/>
      <c r="I1631" s="5"/>
      <c r="J1631" s="5"/>
    </row>
    <row r="1632" spans="1:10" ht="14.1" customHeight="1" thickBot="1" x14ac:dyDescent="0.25">
      <c r="A1632" s="67" t="s">
        <v>15735</v>
      </c>
      <c r="B1632" s="67" t="s">
        <v>16146</v>
      </c>
      <c r="C1632" s="67" t="s">
        <v>15641</v>
      </c>
      <c r="D1632" s="67" t="s">
        <v>15251</v>
      </c>
      <c r="E1632" s="67" t="s">
        <v>6932</v>
      </c>
      <c r="F1632" s="67" t="s">
        <v>15280</v>
      </c>
      <c r="G1632" s="5"/>
      <c r="H1632" s="5"/>
      <c r="I1632" s="5"/>
      <c r="J1632" s="5"/>
    </row>
    <row r="1633" spans="1:10" ht="13.5" customHeight="1" x14ac:dyDescent="0.2">
      <c r="A1633" s="78">
        <v>52121604</v>
      </c>
      <c r="B1633" s="64" t="str">
        <f t="shared" ref="B1633:B1639" ca="1" si="68">IFERROR(INDEX(UNSPSCDes,MATCH(INDIRECT(ADDRESS(ROW(),COLUMN()-1,4)),UNSPSCCode,0)),"")</f>
        <v>Manteles</v>
      </c>
      <c r="C1633" s="63" t="s">
        <v>1449</v>
      </c>
      <c r="D1633" s="63">
        <v>20</v>
      </c>
      <c r="E1633" s="66">
        <v>3000</v>
      </c>
      <c r="F1633" s="65">
        <f t="shared" ref="F1633:F1639" ca="1" si="69">INDIRECT(ADDRESS(ROW(),COLUMN()-2,4))*INDIRECT(ADDRESS(ROW(),COLUMN()-1,4))</f>
        <v>60000</v>
      </c>
      <c r="G1633" s="5"/>
      <c r="H1633" s="5"/>
      <c r="I1633" s="5"/>
      <c r="J1633" s="5"/>
    </row>
    <row r="1634" spans="1:10" ht="13.5" customHeight="1" x14ac:dyDescent="0.2">
      <c r="A1634" s="78">
        <v>52121602</v>
      </c>
      <c r="B1634" s="64" t="str">
        <f t="shared" ca="1" si="68"/>
        <v>Servilletas</v>
      </c>
      <c r="C1634" s="63" t="s">
        <v>1449</v>
      </c>
      <c r="D1634" s="63">
        <v>20</v>
      </c>
      <c r="E1634" s="66">
        <v>300</v>
      </c>
      <c r="F1634" s="65">
        <f t="shared" ca="1" si="69"/>
        <v>6000</v>
      </c>
      <c r="G1634" s="5"/>
      <c r="H1634" s="5"/>
      <c r="I1634" s="5"/>
      <c r="J1634" s="5"/>
    </row>
    <row r="1635" spans="1:10" ht="13.5" customHeight="1" x14ac:dyDescent="0.2">
      <c r="A1635" s="78">
        <v>52121606</v>
      </c>
      <c r="B1635" s="64" t="str">
        <f t="shared" ca="1" si="68"/>
        <v>Individuales de mesa</v>
      </c>
      <c r="C1635" s="63" t="s">
        <v>1449</v>
      </c>
      <c r="D1635" s="63">
        <v>31</v>
      </c>
      <c r="E1635" s="66">
        <v>500</v>
      </c>
      <c r="F1635" s="65">
        <f t="shared" ca="1" si="69"/>
        <v>15500</v>
      </c>
      <c r="G1635" s="5"/>
      <c r="H1635" s="5"/>
      <c r="I1635" s="5"/>
      <c r="J1635" s="5"/>
    </row>
    <row r="1636" spans="1:10" ht="13.5" customHeight="1" x14ac:dyDescent="0.2">
      <c r="A1636" s="78">
        <v>52121607</v>
      </c>
      <c r="B1636" s="64" t="str">
        <f t="shared" ca="1" si="68"/>
        <v>Faldas de mesa</v>
      </c>
      <c r="C1636" s="63" t="s">
        <v>1449</v>
      </c>
      <c r="D1636" s="63">
        <v>20</v>
      </c>
      <c r="E1636" s="66">
        <v>1000</v>
      </c>
      <c r="F1636" s="65">
        <f t="shared" ca="1" si="69"/>
        <v>20000</v>
      </c>
      <c r="G1636" s="5"/>
      <c r="H1636" s="5"/>
      <c r="I1636" s="5"/>
      <c r="J1636" s="5"/>
    </row>
    <row r="1637" spans="1:10" ht="13.5" customHeight="1" x14ac:dyDescent="0.2">
      <c r="A1637" s="78">
        <v>52121608</v>
      </c>
      <c r="B1637" s="64" t="str">
        <f t="shared" ca="1" si="68"/>
        <v>Clips para faldas de mesa</v>
      </c>
      <c r="C1637" s="63" t="s">
        <v>1449</v>
      </c>
      <c r="D1637" s="63">
        <v>20</v>
      </c>
      <c r="E1637" s="66">
        <v>250</v>
      </c>
      <c r="F1637" s="65">
        <f t="shared" ca="1" si="69"/>
        <v>5000</v>
      </c>
      <c r="G1637" s="5"/>
      <c r="H1637" s="5"/>
      <c r="I1637" s="5"/>
      <c r="J1637" s="5"/>
    </row>
    <row r="1638" spans="1:10" ht="13.5" customHeight="1" x14ac:dyDescent="0.2">
      <c r="A1638" s="78">
        <v>55121715</v>
      </c>
      <c r="B1638" s="64" t="str">
        <f t="shared" ca="1" si="68"/>
        <v>Banderas o accesorios</v>
      </c>
      <c r="C1638" s="63" t="s">
        <v>1449</v>
      </c>
      <c r="D1638" s="63">
        <v>4</v>
      </c>
      <c r="E1638" s="66">
        <v>4000</v>
      </c>
      <c r="F1638" s="65">
        <f t="shared" ca="1" si="69"/>
        <v>16000</v>
      </c>
      <c r="G1638" s="5"/>
      <c r="H1638" s="5"/>
      <c r="I1638" s="5"/>
      <c r="J1638" s="5"/>
    </row>
    <row r="1639" spans="1:10" ht="13.5" customHeight="1" x14ac:dyDescent="0.2">
      <c r="A1639" s="78">
        <v>55121724</v>
      </c>
      <c r="B1639" s="64" t="str">
        <f t="shared" ca="1" si="68"/>
        <v>Bases de banderas</v>
      </c>
      <c r="C1639" s="63" t="s">
        <v>1449</v>
      </c>
      <c r="D1639" s="63">
        <v>3</v>
      </c>
      <c r="E1639" s="66">
        <v>5000</v>
      </c>
      <c r="F1639" s="65">
        <f t="shared" ca="1" si="69"/>
        <v>15000</v>
      </c>
      <c r="G1639" s="5"/>
      <c r="H1639" s="5"/>
      <c r="I1639" s="5"/>
      <c r="J1639" s="5"/>
    </row>
    <row r="1640" spans="1:10" ht="14.1" customHeight="1" x14ac:dyDescent="0.2">
      <c r="A1640" s="5"/>
      <c r="B1640" s="5"/>
      <c r="C1640" s="5"/>
      <c r="D1640" s="5"/>
      <c r="E1640" s="68" t="s">
        <v>12550</v>
      </c>
      <c r="F1640" s="69">
        <f ca="1">SUM(Table3102[MONTO TOTAL ESTIMADO])</f>
        <v>137500</v>
      </c>
      <c r="G1640" s="5"/>
      <c r="H1640" s="5" t="str">
        <f>C1626</f>
        <v>Bienes</v>
      </c>
      <c r="I1640" s="5" t="str">
        <f>E1626</f>
        <v>Sí</v>
      </c>
      <c r="J1640" s="5" t="str">
        <f>D1626</f>
        <v>Compras Menores</v>
      </c>
    </row>
    <row r="1641" spans="1:10" ht="14.1" customHeight="1" thickBot="1" x14ac:dyDescent="0.3"/>
    <row r="1642" spans="1:10" ht="33.75" customHeight="1" thickBot="1" x14ac:dyDescent="0.25">
      <c r="A1642" s="59" t="s">
        <v>16382</v>
      </c>
      <c r="B1642" s="59" t="s">
        <v>161</v>
      </c>
      <c r="C1642" s="59" t="s">
        <v>11724</v>
      </c>
      <c r="D1642" s="59" t="s">
        <v>14378</v>
      </c>
      <c r="E1642" s="59" t="s">
        <v>10962</v>
      </c>
      <c r="F1642" s="59" t="s">
        <v>11095</v>
      </c>
      <c r="G1642" s="5"/>
      <c r="H1642" s="5"/>
      <c r="I1642" s="5"/>
      <c r="J1642" s="5"/>
    </row>
    <row r="1643" spans="1:10" ht="13.5" customHeight="1" thickBot="1" x14ac:dyDescent="0.25">
      <c r="A1643" s="77" t="s">
        <v>18885</v>
      </c>
      <c r="B1643" s="77" t="s">
        <v>18886</v>
      </c>
      <c r="C1643" s="61" t="s">
        <v>17797</v>
      </c>
      <c r="D1643" s="61" t="s">
        <v>17482</v>
      </c>
      <c r="E1643" s="61" t="s">
        <v>8854</v>
      </c>
      <c r="F1643" s="61"/>
      <c r="G1643" s="5"/>
      <c r="H1643" s="5"/>
      <c r="I1643" s="5"/>
      <c r="J1643" s="5"/>
    </row>
    <row r="1644" spans="1:10" ht="14.1" customHeight="1" thickBot="1" x14ac:dyDescent="0.25">
      <c r="A1644" s="82" t="s">
        <v>14828</v>
      </c>
      <c r="B1644" s="62" t="s">
        <v>8528</v>
      </c>
      <c r="C1644" s="71">
        <v>43922</v>
      </c>
      <c r="D1644" s="82" t="s">
        <v>9385</v>
      </c>
      <c r="E1644" s="62" t="s">
        <v>13093</v>
      </c>
      <c r="F1644" s="61" t="s">
        <v>3080</v>
      </c>
      <c r="G1644" s="5"/>
      <c r="H1644" s="5"/>
      <c r="I1644" s="5"/>
      <c r="J1644" s="5"/>
    </row>
    <row r="1645" spans="1:10" ht="14.1" customHeight="1" thickBot="1" x14ac:dyDescent="0.25">
      <c r="A1645" s="83"/>
      <c r="B1645" s="62" t="s">
        <v>1786</v>
      </c>
      <c r="C1645" s="60">
        <f>IF(C1644="","",IF(AND(MONTH(C1644)&gt;=1,MONTH(C1644)&lt;=3),1,IF(AND(MONTH(C1644)&gt;=4,MONTH(C1644)&lt;=6),2,IF(AND(MONTH(C1644)&gt;=7,MONTH(C1644)&lt;=9),3,4))))</f>
        <v>2</v>
      </c>
      <c r="D1645" s="83"/>
      <c r="E1645" s="62" t="s">
        <v>2417</v>
      </c>
      <c r="F1645" s="61" t="s">
        <v>11112</v>
      </c>
      <c r="G1645" s="5"/>
      <c r="H1645" s="5"/>
      <c r="I1645" s="5"/>
      <c r="J1645" s="5"/>
    </row>
    <row r="1646" spans="1:10" ht="14.1" customHeight="1" thickBot="1" x14ac:dyDescent="0.25">
      <c r="A1646" s="83"/>
      <c r="B1646" s="62" t="s">
        <v>12942</v>
      </c>
      <c r="C1646" s="71">
        <v>44012</v>
      </c>
      <c r="D1646" s="83"/>
      <c r="E1646" s="62" t="s">
        <v>3073</v>
      </c>
      <c r="F1646" s="61" t="s">
        <v>11112</v>
      </c>
      <c r="G1646" s="5"/>
      <c r="H1646" s="5"/>
      <c r="I1646" s="5"/>
      <c r="J1646" s="5"/>
    </row>
    <row r="1647" spans="1:10" ht="14.1" customHeight="1" thickBot="1" x14ac:dyDescent="0.25">
      <c r="A1647" s="83"/>
      <c r="B1647" s="62" t="s">
        <v>1786</v>
      </c>
      <c r="C1647" s="60">
        <f>IF(C1646="","",IF(AND(MONTH(C1646)&gt;=1,MONTH(C1646)&lt;=3),1,IF(AND(MONTH(C1646)&gt;=4,MONTH(C1646)&lt;=6),2,IF(AND(MONTH(C1646)&gt;=7,MONTH(C1646)&lt;=9),3,4))))</f>
        <v>2</v>
      </c>
      <c r="D1647" s="83"/>
      <c r="E1647" s="62" t="s">
        <v>13192</v>
      </c>
      <c r="F1647" s="61" t="s">
        <v>11112</v>
      </c>
      <c r="G1647" s="5"/>
      <c r="H1647" s="5"/>
      <c r="I1647" s="5"/>
      <c r="J1647" s="5"/>
    </row>
    <row r="1648" spans="1:10" ht="14.1" customHeight="1" thickBot="1" x14ac:dyDescent="0.25">
      <c r="A1648" s="5"/>
      <c r="B1648" s="5"/>
      <c r="C1648" s="5"/>
      <c r="D1648" s="5"/>
      <c r="E1648" s="5"/>
      <c r="F1648" s="5"/>
      <c r="G1648" s="5"/>
      <c r="H1648" s="5"/>
      <c r="I1648" s="5"/>
      <c r="J1648" s="5"/>
    </row>
    <row r="1649" spans="1:10" ht="14.1" customHeight="1" thickBot="1" x14ac:dyDescent="0.25">
      <c r="A1649" s="67" t="s">
        <v>15735</v>
      </c>
      <c r="B1649" s="67" t="s">
        <v>16146</v>
      </c>
      <c r="C1649" s="67" t="s">
        <v>15641</v>
      </c>
      <c r="D1649" s="67" t="s">
        <v>15251</v>
      </c>
      <c r="E1649" s="67" t="s">
        <v>6932</v>
      </c>
      <c r="F1649" s="67" t="s">
        <v>15280</v>
      </c>
      <c r="G1649" s="5"/>
      <c r="H1649" s="5"/>
      <c r="I1649" s="5"/>
      <c r="J1649" s="5"/>
    </row>
    <row r="1650" spans="1:10" ht="13.5" customHeight="1" x14ac:dyDescent="0.2">
      <c r="A1650" s="78">
        <v>52121604</v>
      </c>
      <c r="B1650" s="64" t="str">
        <f t="shared" ref="B1650:B1656" ca="1" si="70">IFERROR(INDEX(UNSPSCDes,MATCH(INDIRECT(ADDRESS(ROW(),COLUMN()-1,4)),UNSPSCCode,0)),"")</f>
        <v>Manteles</v>
      </c>
      <c r="C1650" s="63" t="s">
        <v>1449</v>
      </c>
      <c r="D1650" s="63">
        <v>20</v>
      </c>
      <c r="E1650" s="66">
        <v>3000</v>
      </c>
      <c r="F1650" s="65">
        <f t="shared" ref="F1650:F1656" ca="1" si="71">INDIRECT(ADDRESS(ROW(),COLUMN()-2,4))*INDIRECT(ADDRESS(ROW(),COLUMN()-1,4))</f>
        <v>60000</v>
      </c>
      <c r="G1650" s="5"/>
      <c r="H1650" s="5"/>
      <c r="I1650" s="5"/>
      <c r="J1650" s="5"/>
    </row>
    <row r="1651" spans="1:10" ht="13.5" customHeight="1" x14ac:dyDescent="0.2">
      <c r="A1651" s="78">
        <v>52121602</v>
      </c>
      <c r="B1651" s="64" t="str">
        <f t="shared" ca="1" si="70"/>
        <v>Servilletas</v>
      </c>
      <c r="C1651" s="63" t="s">
        <v>1449</v>
      </c>
      <c r="D1651" s="63">
        <v>20</v>
      </c>
      <c r="E1651" s="66">
        <v>300</v>
      </c>
      <c r="F1651" s="65">
        <f t="shared" ca="1" si="71"/>
        <v>6000</v>
      </c>
      <c r="G1651" s="5"/>
      <c r="H1651" s="5"/>
      <c r="I1651" s="5"/>
      <c r="J1651" s="5"/>
    </row>
    <row r="1652" spans="1:10" ht="13.5" customHeight="1" x14ac:dyDescent="0.2">
      <c r="A1652" s="78">
        <v>52121606</v>
      </c>
      <c r="B1652" s="64" t="str">
        <f t="shared" ca="1" si="70"/>
        <v>Individuales de mesa</v>
      </c>
      <c r="C1652" s="63" t="s">
        <v>1449</v>
      </c>
      <c r="D1652" s="63">
        <v>31</v>
      </c>
      <c r="E1652" s="66">
        <v>500</v>
      </c>
      <c r="F1652" s="65">
        <f t="shared" ca="1" si="71"/>
        <v>15500</v>
      </c>
      <c r="G1652" s="5"/>
      <c r="H1652" s="5"/>
      <c r="I1652" s="5"/>
      <c r="J1652" s="5"/>
    </row>
    <row r="1653" spans="1:10" ht="13.5" customHeight="1" x14ac:dyDescent="0.2">
      <c r="A1653" s="78">
        <v>52121607</v>
      </c>
      <c r="B1653" s="64" t="str">
        <f t="shared" ca="1" si="70"/>
        <v>Faldas de mesa</v>
      </c>
      <c r="C1653" s="63" t="s">
        <v>1449</v>
      </c>
      <c r="D1653" s="63">
        <v>20</v>
      </c>
      <c r="E1653" s="66">
        <v>1000</v>
      </c>
      <c r="F1653" s="65">
        <f t="shared" ca="1" si="71"/>
        <v>20000</v>
      </c>
      <c r="G1653" s="5"/>
      <c r="H1653" s="5"/>
      <c r="I1653" s="5"/>
      <c r="J1653" s="5"/>
    </row>
    <row r="1654" spans="1:10" ht="13.5" customHeight="1" x14ac:dyDescent="0.2">
      <c r="A1654" s="78">
        <v>52121608</v>
      </c>
      <c r="B1654" s="64" t="str">
        <f t="shared" ca="1" si="70"/>
        <v>Clips para faldas de mesa</v>
      </c>
      <c r="C1654" s="63" t="s">
        <v>1449</v>
      </c>
      <c r="D1654" s="63">
        <v>20</v>
      </c>
      <c r="E1654" s="66">
        <v>250</v>
      </c>
      <c r="F1654" s="65">
        <f t="shared" ca="1" si="71"/>
        <v>5000</v>
      </c>
      <c r="G1654" s="5"/>
      <c r="H1654" s="5"/>
      <c r="I1654" s="5"/>
      <c r="J1654" s="5"/>
    </row>
    <row r="1655" spans="1:10" ht="13.5" customHeight="1" x14ac:dyDescent="0.2">
      <c r="A1655" s="78">
        <v>55121715</v>
      </c>
      <c r="B1655" s="64" t="str">
        <f t="shared" ca="1" si="70"/>
        <v>Banderas o accesorios</v>
      </c>
      <c r="C1655" s="63" t="s">
        <v>1449</v>
      </c>
      <c r="D1655" s="63">
        <v>4</v>
      </c>
      <c r="E1655" s="66">
        <v>4000</v>
      </c>
      <c r="F1655" s="65">
        <f t="shared" ca="1" si="71"/>
        <v>16000</v>
      </c>
      <c r="G1655" s="5"/>
      <c r="H1655" s="5"/>
      <c r="I1655" s="5"/>
      <c r="J1655" s="5"/>
    </row>
    <row r="1656" spans="1:10" ht="13.5" customHeight="1" x14ac:dyDescent="0.2">
      <c r="A1656" s="78">
        <v>55121724</v>
      </c>
      <c r="B1656" s="64" t="str">
        <f t="shared" ca="1" si="70"/>
        <v>Bases de banderas</v>
      </c>
      <c r="C1656" s="63" t="s">
        <v>1449</v>
      </c>
      <c r="D1656" s="63">
        <v>3</v>
      </c>
      <c r="E1656" s="66">
        <v>5000</v>
      </c>
      <c r="F1656" s="65">
        <f t="shared" ca="1" si="71"/>
        <v>15000</v>
      </c>
      <c r="G1656" s="5"/>
      <c r="H1656" s="5"/>
      <c r="I1656" s="5"/>
      <c r="J1656" s="5"/>
    </row>
    <row r="1657" spans="1:10" ht="14.1" customHeight="1" x14ac:dyDescent="0.2">
      <c r="A1657" s="5"/>
      <c r="B1657" s="5"/>
      <c r="C1657" s="5"/>
      <c r="D1657" s="5"/>
      <c r="E1657" s="68" t="s">
        <v>12550</v>
      </c>
      <c r="F1657" s="69">
        <f ca="1">SUM(Table3103[MONTO TOTAL ESTIMADO])</f>
        <v>137500</v>
      </c>
      <c r="G1657" s="5"/>
      <c r="H1657" s="5" t="str">
        <f>C1643</f>
        <v>Bienes</v>
      </c>
      <c r="I1657" s="5" t="str">
        <f>E1643</f>
        <v>Sí</v>
      </c>
      <c r="J1657" s="5" t="str">
        <f>D1643</f>
        <v>Compras Menores</v>
      </c>
    </row>
    <row r="1658" spans="1:10" ht="14.1" customHeight="1" thickBot="1" x14ac:dyDescent="0.3"/>
    <row r="1659" spans="1:10" ht="33.75" customHeight="1" thickBot="1" x14ac:dyDescent="0.25">
      <c r="A1659" s="59" t="s">
        <v>16382</v>
      </c>
      <c r="B1659" s="59" t="s">
        <v>161</v>
      </c>
      <c r="C1659" s="59" t="s">
        <v>11724</v>
      </c>
      <c r="D1659" s="59" t="s">
        <v>14378</v>
      </c>
      <c r="E1659" s="59" t="s">
        <v>10962</v>
      </c>
      <c r="F1659" s="59" t="s">
        <v>11095</v>
      </c>
      <c r="G1659" s="5"/>
      <c r="H1659" s="5"/>
      <c r="I1659" s="5"/>
      <c r="J1659" s="5"/>
    </row>
    <row r="1660" spans="1:10" ht="13.5" customHeight="1" thickBot="1" x14ac:dyDescent="0.25">
      <c r="A1660" s="77" t="s">
        <v>18885</v>
      </c>
      <c r="B1660" s="77" t="s">
        <v>18886</v>
      </c>
      <c r="C1660" s="61" t="s">
        <v>17797</v>
      </c>
      <c r="D1660" s="61" t="s">
        <v>17482</v>
      </c>
      <c r="E1660" s="61" t="s">
        <v>8854</v>
      </c>
      <c r="F1660" s="61"/>
      <c r="G1660" s="5"/>
      <c r="H1660" s="5"/>
      <c r="I1660" s="5"/>
      <c r="J1660" s="5"/>
    </row>
    <row r="1661" spans="1:10" ht="14.1" customHeight="1" thickBot="1" x14ac:dyDescent="0.25">
      <c r="A1661" s="82" t="s">
        <v>14828</v>
      </c>
      <c r="B1661" s="62" t="s">
        <v>8528</v>
      </c>
      <c r="C1661" s="71">
        <v>44013</v>
      </c>
      <c r="D1661" s="82" t="s">
        <v>9385</v>
      </c>
      <c r="E1661" s="62" t="s">
        <v>13093</v>
      </c>
      <c r="F1661" s="61" t="s">
        <v>3080</v>
      </c>
      <c r="G1661" s="5"/>
      <c r="H1661" s="5"/>
      <c r="I1661" s="5"/>
      <c r="J1661" s="5"/>
    </row>
    <row r="1662" spans="1:10" ht="14.1" customHeight="1" thickBot="1" x14ac:dyDescent="0.25">
      <c r="A1662" s="83"/>
      <c r="B1662" s="62" t="s">
        <v>1786</v>
      </c>
      <c r="C1662" s="60">
        <f>IF(C1661="","",IF(AND(MONTH(C1661)&gt;=1,MONTH(C1661)&lt;=3),1,IF(AND(MONTH(C1661)&gt;=4,MONTH(C1661)&lt;=6),2,IF(AND(MONTH(C1661)&gt;=7,MONTH(C1661)&lt;=9),3,4))))</f>
        <v>3</v>
      </c>
      <c r="D1662" s="83"/>
      <c r="E1662" s="62" t="s">
        <v>2417</v>
      </c>
      <c r="F1662" s="61" t="s">
        <v>11112</v>
      </c>
      <c r="G1662" s="5"/>
      <c r="H1662" s="5"/>
      <c r="I1662" s="5"/>
      <c r="J1662" s="5"/>
    </row>
    <row r="1663" spans="1:10" ht="14.1" customHeight="1" thickBot="1" x14ac:dyDescent="0.25">
      <c r="A1663" s="83"/>
      <c r="B1663" s="62" t="s">
        <v>12942</v>
      </c>
      <c r="C1663" s="71">
        <v>44104</v>
      </c>
      <c r="D1663" s="83"/>
      <c r="E1663" s="62" t="s">
        <v>3073</v>
      </c>
      <c r="F1663" s="61" t="s">
        <v>11112</v>
      </c>
      <c r="G1663" s="5"/>
      <c r="H1663" s="5"/>
      <c r="I1663" s="5"/>
      <c r="J1663" s="5"/>
    </row>
    <row r="1664" spans="1:10" ht="14.1" customHeight="1" thickBot="1" x14ac:dyDescent="0.25">
      <c r="A1664" s="83"/>
      <c r="B1664" s="62" t="s">
        <v>1786</v>
      </c>
      <c r="C1664" s="60">
        <f>IF(C1663="","",IF(AND(MONTH(C1663)&gt;=1,MONTH(C1663)&lt;=3),1,IF(AND(MONTH(C1663)&gt;=4,MONTH(C1663)&lt;=6),2,IF(AND(MONTH(C1663)&gt;=7,MONTH(C1663)&lt;=9),3,4))))</f>
        <v>3</v>
      </c>
      <c r="D1664" s="83"/>
      <c r="E1664" s="62" t="s">
        <v>13192</v>
      </c>
      <c r="F1664" s="61" t="s">
        <v>11112</v>
      </c>
      <c r="G1664" s="5"/>
      <c r="H1664" s="5"/>
      <c r="I1664" s="5"/>
      <c r="J1664" s="5"/>
    </row>
    <row r="1665" spans="1:10" ht="14.1" customHeight="1" thickBot="1" x14ac:dyDescent="0.25">
      <c r="A1665" s="5"/>
      <c r="B1665" s="5"/>
      <c r="C1665" s="5"/>
      <c r="D1665" s="5"/>
      <c r="E1665" s="5"/>
      <c r="F1665" s="5"/>
      <c r="G1665" s="5"/>
      <c r="H1665" s="5"/>
      <c r="I1665" s="5"/>
      <c r="J1665" s="5"/>
    </row>
    <row r="1666" spans="1:10" ht="14.1" customHeight="1" thickBot="1" x14ac:dyDescent="0.25">
      <c r="A1666" s="67" t="s">
        <v>15735</v>
      </c>
      <c r="B1666" s="67" t="s">
        <v>16146</v>
      </c>
      <c r="C1666" s="67" t="s">
        <v>15641</v>
      </c>
      <c r="D1666" s="67" t="s">
        <v>15251</v>
      </c>
      <c r="E1666" s="67" t="s">
        <v>6932</v>
      </c>
      <c r="F1666" s="67" t="s">
        <v>15280</v>
      </c>
      <c r="G1666" s="5"/>
      <c r="H1666" s="5"/>
      <c r="I1666" s="5"/>
      <c r="J1666" s="5"/>
    </row>
    <row r="1667" spans="1:10" ht="13.5" customHeight="1" x14ac:dyDescent="0.2">
      <c r="A1667" s="78">
        <v>52121604</v>
      </c>
      <c r="B1667" s="64" t="str">
        <f t="shared" ref="B1667:B1673" ca="1" si="72">IFERROR(INDEX(UNSPSCDes,MATCH(INDIRECT(ADDRESS(ROW(),COLUMN()-1,4)),UNSPSCCode,0)),"")</f>
        <v>Manteles</v>
      </c>
      <c r="C1667" s="63" t="s">
        <v>1449</v>
      </c>
      <c r="D1667" s="63">
        <v>20</v>
      </c>
      <c r="E1667" s="66">
        <v>3000</v>
      </c>
      <c r="F1667" s="65">
        <f t="shared" ref="F1667:F1673" ca="1" si="73">INDIRECT(ADDRESS(ROW(),COLUMN()-2,4))*INDIRECT(ADDRESS(ROW(),COLUMN()-1,4))</f>
        <v>60000</v>
      </c>
      <c r="G1667" s="5"/>
      <c r="H1667" s="5"/>
      <c r="I1667" s="5"/>
      <c r="J1667" s="5"/>
    </row>
    <row r="1668" spans="1:10" ht="13.5" customHeight="1" x14ac:dyDescent="0.2">
      <c r="A1668" s="78">
        <v>52121602</v>
      </c>
      <c r="B1668" s="64" t="str">
        <f t="shared" ca="1" si="72"/>
        <v>Servilletas</v>
      </c>
      <c r="C1668" s="63" t="s">
        <v>1449</v>
      </c>
      <c r="D1668" s="63">
        <v>20</v>
      </c>
      <c r="E1668" s="66">
        <v>300</v>
      </c>
      <c r="F1668" s="65">
        <f t="shared" ca="1" si="73"/>
        <v>6000</v>
      </c>
      <c r="G1668" s="5"/>
      <c r="H1668" s="5"/>
      <c r="I1668" s="5"/>
      <c r="J1668" s="5"/>
    </row>
    <row r="1669" spans="1:10" ht="13.5" customHeight="1" x14ac:dyDescent="0.2">
      <c r="A1669" s="78">
        <v>52121606</v>
      </c>
      <c r="B1669" s="64" t="str">
        <f t="shared" ca="1" si="72"/>
        <v>Individuales de mesa</v>
      </c>
      <c r="C1669" s="63" t="s">
        <v>1449</v>
      </c>
      <c r="D1669" s="63">
        <v>31</v>
      </c>
      <c r="E1669" s="66">
        <v>500</v>
      </c>
      <c r="F1669" s="65">
        <f t="shared" ca="1" si="73"/>
        <v>15500</v>
      </c>
      <c r="G1669" s="5"/>
      <c r="H1669" s="5"/>
      <c r="I1669" s="5"/>
      <c r="J1669" s="5"/>
    </row>
    <row r="1670" spans="1:10" ht="13.5" customHeight="1" x14ac:dyDescent="0.2">
      <c r="A1670" s="78">
        <v>52121607</v>
      </c>
      <c r="B1670" s="64" t="str">
        <f t="shared" ca="1" si="72"/>
        <v>Faldas de mesa</v>
      </c>
      <c r="C1670" s="63" t="s">
        <v>1449</v>
      </c>
      <c r="D1670" s="63">
        <v>15</v>
      </c>
      <c r="E1670" s="66">
        <v>1000</v>
      </c>
      <c r="F1670" s="65">
        <f t="shared" ca="1" si="73"/>
        <v>15000</v>
      </c>
      <c r="G1670" s="5"/>
      <c r="H1670" s="5"/>
      <c r="I1670" s="5"/>
      <c r="J1670" s="5"/>
    </row>
    <row r="1671" spans="1:10" ht="13.5" customHeight="1" x14ac:dyDescent="0.2">
      <c r="A1671" s="78">
        <v>52121608</v>
      </c>
      <c r="B1671" s="64" t="str">
        <f t="shared" ca="1" si="72"/>
        <v>Clips para faldas de mesa</v>
      </c>
      <c r="C1671" s="63" t="s">
        <v>1449</v>
      </c>
      <c r="D1671" s="63">
        <v>20</v>
      </c>
      <c r="E1671" s="66">
        <v>250</v>
      </c>
      <c r="F1671" s="65">
        <f t="shared" ca="1" si="73"/>
        <v>5000</v>
      </c>
      <c r="G1671" s="5"/>
      <c r="H1671" s="5"/>
      <c r="I1671" s="5"/>
      <c r="J1671" s="5"/>
    </row>
    <row r="1672" spans="1:10" ht="13.5" customHeight="1" x14ac:dyDescent="0.2">
      <c r="A1672" s="78">
        <v>55121715</v>
      </c>
      <c r="B1672" s="64" t="str">
        <f t="shared" ca="1" si="72"/>
        <v>Banderas o accesorios</v>
      </c>
      <c r="C1672" s="63" t="s">
        <v>1449</v>
      </c>
      <c r="D1672" s="63">
        <v>4</v>
      </c>
      <c r="E1672" s="66">
        <v>4000</v>
      </c>
      <c r="F1672" s="65">
        <f t="shared" ca="1" si="73"/>
        <v>16000</v>
      </c>
      <c r="G1672" s="5"/>
      <c r="H1672" s="5"/>
      <c r="I1672" s="5"/>
      <c r="J1672" s="5"/>
    </row>
    <row r="1673" spans="1:10" ht="13.5" customHeight="1" x14ac:dyDescent="0.2">
      <c r="A1673" s="78">
        <v>55121724</v>
      </c>
      <c r="B1673" s="64" t="str">
        <f t="shared" ca="1" si="72"/>
        <v>Bases de banderas</v>
      </c>
      <c r="C1673" s="63" t="s">
        <v>1449</v>
      </c>
      <c r="D1673" s="63">
        <v>4</v>
      </c>
      <c r="E1673" s="66">
        <v>5000</v>
      </c>
      <c r="F1673" s="65">
        <f t="shared" ca="1" si="73"/>
        <v>20000</v>
      </c>
      <c r="G1673" s="5"/>
      <c r="H1673" s="5"/>
      <c r="I1673" s="5"/>
      <c r="J1673" s="5"/>
    </row>
    <row r="1674" spans="1:10" ht="14.1" customHeight="1" x14ac:dyDescent="0.2">
      <c r="A1674" s="5"/>
      <c r="B1674" s="5"/>
      <c r="C1674" s="5"/>
      <c r="D1674" s="5"/>
      <c r="E1674" s="68" t="s">
        <v>12550</v>
      </c>
      <c r="F1674" s="69">
        <f ca="1">SUM(Table3104[MONTO TOTAL ESTIMADO])</f>
        <v>137500</v>
      </c>
      <c r="G1674" s="5"/>
      <c r="H1674" s="5" t="str">
        <f>C1660</f>
        <v>Bienes</v>
      </c>
      <c r="I1674" s="5" t="str">
        <f>E1660</f>
        <v>Sí</v>
      </c>
      <c r="J1674" s="5" t="str">
        <f>D1660</f>
        <v>Compras Menores</v>
      </c>
    </row>
    <row r="1675" spans="1:10" ht="14.1" customHeight="1" thickBot="1" x14ac:dyDescent="0.3"/>
    <row r="1676" spans="1:10" ht="33.75" customHeight="1" thickBot="1" x14ac:dyDescent="0.25">
      <c r="A1676" s="59" t="s">
        <v>16382</v>
      </c>
      <c r="B1676" s="59" t="s">
        <v>161</v>
      </c>
      <c r="C1676" s="59" t="s">
        <v>11724</v>
      </c>
      <c r="D1676" s="59" t="s">
        <v>14378</v>
      </c>
      <c r="E1676" s="59" t="s">
        <v>10962</v>
      </c>
      <c r="F1676" s="59" t="s">
        <v>11095</v>
      </c>
      <c r="G1676" s="5"/>
      <c r="H1676" s="5"/>
      <c r="I1676" s="5"/>
      <c r="J1676" s="5"/>
    </row>
    <row r="1677" spans="1:10" ht="13.5" customHeight="1" thickBot="1" x14ac:dyDescent="0.25">
      <c r="A1677" s="77" t="s">
        <v>18885</v>
      </c>
      <c r="B1677" s="77" t="s">
        <v>18886</v>
      </c>
      <c r="C1677" s="61" t="s">
        <v>17797</v>
      </c>
      <c r="D1677" s="61" t="s">
        <v>17482</v>
      </c>
      <c r="E1677" s="61" t="s">
        <v>8854</v>
      </c>
      <c r="F1677" s="61"/>
      <c r="G1677" s="5"/>
      <c r="H1677" s="5"/>
      <c r="I1677" s="5"/>
      <c r="J1677" s="5"/>
    </row>
    <row r="1678" spans="1:10" ht="14.1" customHeight="1" thickBot="1" x14ac:dyDescent="0.25">
      <c r="A1678" s="82" t="s">
        <v>14828</v>
      </c>
      <c r="B1678" s="62" t="s">
        <v>8528</v>
      </c>
      <c r="C1678" s="71">
        <v>44105</v>
      </c>
      <c r="D1678" s="82" t="s">
        <v>9385</v>
      </c>
      <c r="E1678" s="62" t="s">
        <v>13093</v>
      </c>
      <c r="F1678" s="61" t="s">
        <v>3080</v>
      </c>
      <c r="G1678" s="5"/>
      <c r="H1678" s="5"/>
      <c r="I1678" s="5"/>
      <c r="J1678" s="5"/>
    </row>
    <row r="1679" spans="1:10" ht="14.1" customHeight="1" thickBot="1" x14ac:dyDescent="0.25">
      <c r="A1679" s="83"/>
      <c r="B1679" s="62" t="s">
        <v>1786</v>
      </c>
      <c r="C1679" s="60">
        <f>IF(C1678="","",IF(AND(MONTH(C1678)&gt;=1,MONTH(C1678)&lt;=3),1,IF(AND(MONTH(C1678)&gt;=4,MONTH(C1678)&lt;=6),2,IF(AND(MONTH(C1678)&gt;=7,MONTH(C1678)&lt;=9),3,4))))</f>
        <v>4</v>
      </c>
      <c r="D1679" s="83"/>
      <c r="E1679" s="62" t="s">
        <v>2417</v>
      </c>
      <c r="F1679" s="61" t="s">
        <v>11112</v>
      </c>
      <c r="G1679" s="5"/>
      <c r="H1679" s="5"/>
      <c r="I1679" s="5"/>
      <c r="J1679" s="5"/>
    </row>
    <row r="1680" spans="1:10" ht="14.1" customHeight="1" thickBot="1" x14ac:dyDescent="0.25">
      <c r="A1680" s="83"/>
      <c r="B1680" s="62" t="s">
        <v>12942</v>
      </c>
      <c r="C1680" s="71">
        <v>44196</v>
      </c>
      <c r="D1680" s="83"/>
      <c r="E1680" s="62" t="s">
        <v>3073</v>
      </c>
      <c r="F1680" s="61" t="s">
        <v>11112</v>
      </c>
      <c r="G1680" s="5"/>
      <c r="H1680" s="5"/>
      <c r="I1680" s="5"/>
      <c r="J1680" s="5"/>
    </row>
    <row r="1681" spans="1:10" ht="14.1" customHeight="1" thickBot="1" x14ac:dyDescent="0.25">
      <c r="A1681" s="83"/>
      <c r="B1681" s="62" t="s">
        <v>1786</v>
      </c>
      <c r="C1681" s="60">
        <f>IF(C1680="","",IF(AND(MONTH(C1680)&gt;=1,MONTH(C1680)&lt;=3),1,IF(AND(MONTH(C1680)&gt;=4,MONTH(C1680)&lt;=6),2,IF(AND(MONTH(C1680)&gt;=7,MONTH(C1680)&lt;=9),3,4))))</f>
        <v>4</v>
      </c>
      <c r="D1681" s="83"/>
      <c r="E1681" s="62" t="s">
        <v>13192</v>
      </c>
      <c r="F1681" s="61" t="s">
        <v>11112</v>
      </c>
      <c r="G1681" s="5"/>
      <c r="H1681" s="5"/>
      <c r="I1681" s="5"/>
      <c r="J1681" s="5"/>
    </row>
    <row r="1682" spans="1:10" ht="14.1" customHeight="1" thickBot="1" x14ac:dyDescent="0.25">
      <c r="A1682" s="5"/>
      <c r="B1682" s="5"/>
      <c r="C1682" s="5"/>
      <c r="D1682" s="5"/>
      <c r="E1682" s="5"/>
      <c r="F1682" s="5"/>
      <c r="G1682" s="5"/>
      <c r="H1682" s="5"/>
      <c r="I1682" s="5"/>
      <c r="J1682" s="5"/>
    </row>
    <row r="1683" spans="1:10" ht="14.1" customHeight="1" thickBot="1" x14ac:dyDescent="0.25">
      <c r="A1683" s="67" t="s">
        <v>15735</v>
      </c>
      <c r="B1683" s="67" t="s">
        <v>16146</v>
      </c>
      <c r="C1683" s="67" t="s">
        <v>15641</v>
      </c>
      <c r="D1683" s="67" t="s">
        <v>15251</v>
      </c>
      <c r="E1683" s="67" t="s">
        <v>6932</v>
      </c>
      <c r="F1683" s="67" t="s">
        <v>15280</v>
      </c>
      <c r="G1683" s="5"/>
      <c r="H1683" s="5"/>
      <c r="I1683" s="5"/>
      <c r="J1683" s="5"/>
    </row>
    <row r="1684" spans="1:10" ht="13.5" customHeight="1" x14ac:dyDescent="0.2">
      <c r="A1684" s="78">
        <v>52121604</v>
      </c>
      <c r="B1684" s="64" t="str">
        <f t="shared" ref="B1684:B1690" ca="1" si="74">IFERROR(INDEX(UNSPSCDes,MATCH(INDIRECT(ADDRESS(ROW(),COLUMN()-1,4)),UNSPSCCode,0)),"")</f>
        <v>Manteles</v>
      </c>
      <c r="C1684" s="63" t="s">
        <v>1449</v>
      </c>
      <c r="D1684" s="63">
        <v>20</v>
      </c>
      <c r="E1684" s="66">
        <v>3000</v>
      </c>
      <c r="F1684" s="65">
        <f t="shared" ref="F1684:F1690" ca="1" si="75">INDIRECT(ADDRESS(ROW(),COLUMN()-2,4))*INDIRECT(ADDRESS(ROW(),COLUMN()-1,4))</f>
        <v>60000</v>
      </c>
      <c r="G1684" s="5"/>
      <c r="H1684" s="5"/>
      <c r="I1684" s="5"/>
      <c r="J1684" s="5"/>
    </row>
    <row r="1685" spans="1:10" ht="13.5" customHeight="1" x14ac:dyDescent="0.2">
      <c r="A1685" s="78">
        <v>52121602</v>
      </c>
      <c r="B1685" s="64" t="str">
        <f t="shared" ca="1" si="74"/>
        <v>Servilletas</v>
      </c>
      <c r="C1685" s="63" t="s">
        <v>1449</v>
      </c>
      <c r="D1685" s="63">
        <v>20</v>
      </c>
      <c r="E1685" s="66">
        <v>3000</v>
      </c>
      <c r="F1685" s="65">
        <f t="shared" ca="1" si="75"/>
        <v>60000</v>
      </c>
      <c r="G1685" s="5"/>
      <c r="H1685" s="5"/>
      <c r="I1685" s="5"/>
      <c r="J1685" s="5"/>
    </row>
    <row r="1686" spans="1:10" ht="13.5" customHeight="1" x14ac:dyDescent="0.2">
      <c r="A1686" s="78">
        <v>52121606</v>
      </c>
      <c r="B1686" s="64" t="str">
        <f t="shared" ca="1" si="74"/>
        <v>Individuales de mesa</v>
      </c>
      <c r="C1686" s="63" t="s">
        <v>1449</v>
      </c>
      <c r="D1686" s="63">
        <v>31</v>
      </c>
      <c r="E1686" s="66">
        <v>500</v>
      </c>
      <c r="F1686" s="65">
        <f t="shared" ca="1" si="75"/>
        <v>15500</v>
      </c>
      <c r="G1686" s="5"/>
      <c r="H1686" s="5"/>
      <c r="I1686" s="5"/>
      <c r="J1686" s="5"/>
    </row>
    <row r="1687" spans="1:10" ht="13.5" customHeight="1" x14ac:dyDescent="0.2">
      <c r="A1687" s="78">
        <v>52121607</v>
      </c>
      <c r="B1687" s="64" t="str">
        <f t="shared" ca="1" si="74"/>
        <v>Faldas de mesa</v>
      </c>
      <c r="C1687" s="63" t="s">
        <v>1449</v>
      </c>
      <c r="D1687" s="63">
        <v>15</v>
      </c>
      <c r="E1687" s="66">
        <v>1000</v>
      </c>
      <c r="F1687" s="65">
        <f t="shared" ca="1" si="75"/>
        <v>15000</v>
      </c>
      <c r="G1687" s="5"/>
      <c r="H1687" s="5"/>
      <c r="I1687" s="5"/>
      <c r="J1687" s="5"/>
    </row>
    <row r="1688" spans="1:10" ht="13.5" customHeight="1" x14ac:dyDescent="0.2">
      <c r="A1688" s="78">
        <v>52121608</v>
      </c>
      <c r="B1688" s="64" t="str">
        <f t="shared" ca="1" si="74"/>
        <v>Clips para faldas de mesa</v>
      </c>
      <c r="C1688" s="63" t="s">
        <v>1449</v>
      </c>
      <c r="D1688" s="63">
        <v>20</v>
      </c>
      <c r="E1688" s="66">
        <v>250</v>
      </c>
      <c r="F1688" s="65">
        <f t="shared" ca="1" si="75"/>
        <v>5000</v>
      </c>
      <c r="G1688" s="5"/>
      <c r="H1688" s="5"/>
      <c r="I1688" s="5"/>
      <c r="J1688" s="5"/>
    </row>
    <row r="1689" spans="1:10" ht="13.5" customHeight="1" x14ac:dyDescent="0.2">
      <c r="A1689" s="78">
        <v>55121715</v>
      </c>
      <c r="B1689" s="64" t="str">
        <f t="shared" ca="1" si="74"/>
        <v>Banderas o accesorios</v>
      </c>
      <c r="C1689" s="63" t="s">
        <v>1449</v>
      </c>
      <c r="D1689" s="63">
        <v>4</v>
      </c>
      <c r="E1689" s="66">
        <v>4000</v>
      </c>
      <c r="F1689" s="65">
        <f t="shared" ca="1" si="75"/>
        <v>16000</v>
      </c>
      <c r="G1689" s="5"/>
      <c r="H1689" s="5"/>
      <c r="I1689" s="5"/>
      <c r="J1689" s="5"/>
    </row>
    <row r="1690" spans="1:10" ht="13.5" customHeight="1" x14ac:dyDescent="0.2">
      <c r="A1690" s="78">
        <v>55121724</v>
      </c>
      <c r="B1690" s="64" t="str">
        <f t="shared" ca="1" si="74"/>
        <v>Bases de banderas</v>
      </c>
      <c r="C1690" s="63" t="s">
        <v>1449</v>
      </c>
      <c r="D1690" s="63">
        <v>4</v>
      </c>
      <c r="E1690" s="66">
        <v>5000</v>
      </c>
      <c r="F1690" s="65">
        <f t="shared" ca="1" si="75"/>
        <v>20000</v>
      </c>
      <c r="G1690" s="5"/>
      <c r="H1690" s="5"/>
      <c r="I1690" s="5"/>
      <c r="J1690" s="5"/>
    </row>
    <row r="1691" spans="1:10" ht="14.1" customHeight="1" x14ac:dyDescent="0.2">
      <c r="A1691" s="5"/>
      <c r="B1691" s="5"/>
      <c r="C1691" s="5"/>
      <c r="D1691" s="5"/>
      <c r="E1691" s="68" t="s">
        <v>12550</v>
      </c>
      <c r="F1691" s="69">
        <f ca="1">SUM(Table3105[MONTO TOTAL ESTIMADO])</f>
        <v>191500</v>
      </c>
      <c r="G1691" s="5"/>
      <c r="H1691" s="5" t="str">
        <f>C1677</f>
        <v>Bienes</v>
      </c>
      <c r="I1691" s="5" t="str">
        <f>E1677</f>
        <v>Sí</v>
      </c>
      <c r="J1691" s="5" t="str">
        <f>D1677</f>
        <v>Compras Menores</v>
      </c>
    </row>
    <row r="1692" spans="1:10" ht="14.1" customHeight="1" thickBot="1" x14ac:dyDescent="0.3"/>
    <row r="1693" spans="1:10" ht="33.75" customHeight="1" thickBot="1" x14ac:dyDescent="0.25">
      <c r="A1693" s="59" t="s">
        <v>16382</v>
      </c>
      <c r="B1693" s="59" t="s">
        <v>161</v>
      </c>
      <c r="C1693" s="59" t="s">
        <v>11724</v>
      </c>
      <c r="D1693" s="59" t="s">
        <v>14378</v>
      </c>
      <c r="E1693" s="59" t="s">
        <v>10962</v>
      </c>
      <c r="F1693" s="59" t="s">
        <v>11095</v>
      </c>
      <c r="G1693" s="5"/>
      <c r="H1693" s="5"/>
      <c r="I1693" s="5"/>
      <c r="J1693" s="5"/>
    </row>
    <row r="1694" spans="1:10" ht="13.5" customHeight="1" thickBot="1" x14ac:dyDescent="0.25">
      <c r="A1694" s="77" t="s">
        <v>18887</v>
      </c>
      <c r="B1694" s="77" t="s">
        <v>18888</v>
      </c>
      <c r="C1694" s="61" t="s">
        <v>17797</v>
      </c>
      <c r="D1694" s="61" t="s">
        <v>17482</v>
      </c>
      <c r="E1694" s="61" t="s">
        <v>8854</v>
      </c>
      <c r="F1694" s="61"/>
      <c r="G1694" s="5"/>
      <c r="H1694" s="5"/>
      <c r="I1694" s="5"/>
      <c r="J1694" s="5"/>
    </row>
    <row r="1695" spans="1:10" ht="14.1" customHeight="1" thickBot="1" x14ac:dyDescent="0.25">
      <c r="A1695" s="82" t="s">
        <v>14828</v>
      </c>
      <c r="B1695" s="62" t="s">
        <v>8528</v>
      </c>
      <c r="C1695" s="71">
        <v>43831</v>
      </c>
      <c r="D1695" s="82" t="s">
        <v>9385</v>
      </c>
      <c r="E1695" s="62" t="s">
        <v>13093</v>
      </c>
      <c r="F1695" s="61" t="s">
        <v>3080</v>
      </c>
      <c r="G1695" s="5"/>
      <c r="H1695" s="5"/>
      <c r="I1695" s="5"/>
      <c r="J1695" s="5"/>
    </row>
    <row r="1696" spans="1:10" ht="14.1" customHeight="1" thickBot="1" x14ac:dyDescent="0.25">
      <c r="A1696" s="83"/>
      <c r="B1696" s="62" t="s">
        <v>1786</v>
      </c>
      <c r="C1696" s="60">
        <f>IF(C1695="","",IF(AND(MONTH(C1695)&gt;=1,MONTH(C1695)&lt;=3),1,IF(AND(MONTH(C1695)&gt;=4,MONTH(C1695)&lt;=6),2,IF(AND(MONTH(C1695)&gt;=7,MONTH(C1695)&lt;=9),3,4))))</f>
        <v>1</v>
      </c>
      <c r="D1696" s="83"/>
      <c r="E1696" s="62" t="s">
        <v>2417</v>
      </c>
      <c r="F1696" s="61" t="s">
        <v>11112</v>
      </c>
      <c r="G1696" s="5"/>
      <c r="H1696" s="5"/>
      <c r="I1696" s="5"/>
      <c r="J1696" s="5"/>
    </row>
    <row r="1697" spans="1:10" ht="14.1" customHeight="1" thickBot="1" x14ac:dyDescent="0.25">
      <c r="A1697" s="83"/>
      <c r="B1697" s="62" t="s">
        <v>12942</v>
      </c>
      <c r="C1697" s="71">
        <v>43921</v>
      </c>
      <c r="D1697" s="83"/>
      <c r="E1697" s="62" t="s">
        <v>3073</v>
      </c>
      <c r="F1697" s="61" t="s">
        <v>11112</v>
      </c>
      <c r="G1697" s="5"/>
      <c r="H1697" s="5"/>
      <c r="I1697" s="5"/>
      <c r="J1697" s="5"/>
    </row>
    <row r="1698" spans="1:10" ht="14.1" customHeight="1" thickBot="1" x14ac:dyDescent="0.25">
      <c r="A1698" s="83"/>
      <c r="B1698" s="62" t="s">
        <v>1786</v>
      </c>
      <c r="C1698" s="60">
        <f>IF(C1697="","",IF(AND(MONTH(C1697)&gt;=1,MONTH(C1697)&lt;=3),1,IF(AND(MONTH(C1697)&gt;=4,MONTH(C1697)&lt;=6),2,IF(AND(MONTH(C1697)&gt;=7,MONTH(C1697)&lt;=9),3,4))))</f>
        <v>1</v>
      </c>
      <c r="D1698" s="83"/>
      <c r="E1698" s="62" t="s">
        <v>13192</v>
      </c>
      <c r="F1698" s="61" t="s">
        <v>11112</v>
      </c>
      <c r="G1698" s="5"/>
      <c r="H1698" s="5"/>
      <c r="I1698" s="5"/>
      <c r="J1698" s="5"/>
    </row>
    <row r="1699" spans="1:10" ht="14.1" customHeight="1" thickBot="1" x14ac:dyDescent="0.25">
      <c r="A1699" s="5"/>
      <c r="B1699" s="5"/>
      <c r="C1699" s="5"/>
      <c r="D1699" s="5"/>
      <c r="E1699" s="5"/>
      <c r="F1699" s="5"/>
      <c r="G1699" s="5"/>
      <c r="H1699" s="5"/>
      <c r="I1699" s="5"/>
      <c r="J1699" s="5"/>
    </row>
    <row r="1700" spans="1:10" ht="14.1" customHeight="1" thickBot="1" x14ac:dyDescent="0.25">
      <c r="A1700" s="67" t="s">
        <v>15735</v>
      </c>
      <c r="B1700" s="67" t="s">
        <v>16146</v>
      </c>
      <c r="C1700" s="67" t="s">
        <v>15641</v>
      </c>
      <c r="D1700" s="67" t="s">
        <v>15251</v>
      </c>
      <c r="E1700" s="67" t="s">
        <v>6932</v>
      </c>
      <c r="F1700" s="67" t="s">
        <v>15280</v>
      </c>
      <c r="G1700" s="5"/>
      <c r="H1700" s="5"/>
      <c r="I1700" s="5"/>
      <c r="J1700" s="5"/>
    </row>
    <row r="1701" spans="1:10" ht="13.5" customHeight="1" x14ac:dyDescent="0.2">
      <c r="A1701" s="78">
        <v>53102710</v>
      </c>
      <c r="B1701" s="64" t="str">
        <f ca="1">IFERROR(INDEX(UNSPSCDes,MATCH(INDIRECT(ADDRESS(ROW(),COLUMN()-1,4)),UNSPSCCode,0)),"")</f>
        <v>Uniformes corporativos</v>
      </c>
      <c r="C1701" s="63" t="s">
        <v>1449</v>
      </c>
      <c r="D1701" s="63">
        <v>61</v>
      </c>
      <c r="E1701" s="66">
        <v>5000</v>
      </c>
      <c r="F1701" s="65">
        <f ca="1">INDIRECT(ADDRESS(ROW(),COLUMN()-2,4))*INDIRECT(ADDRESS(ROW(),COLUMN()-1,4))</f>
        <v>305000</v>
      </c>
      <c r="G1701" s="5"/>
      <c r="H1701" s="5"/>
      <c r="I1701" s="5"/>
      <c r="J1701" s="5"/>
    </row>
    <row r="1702" spans="1:10" ht="27" customHeight="1" x14ac:dyDescent="0.2">
      <c r="A1702" s="78">
        <v>53102704</v>
      </c>
      <c r="B1702" s="64" t="str">
        <f ca="1">IFERROR(INDEX(UNSPSCDes,MATCH(INDIRECT(ADDRESS(ROW(),COLUMN()-1,4)),UNSPSCCode,0)),"")</f>
        <v>Uniformes institucionales para preparación de alimentos o servicio</v>
      </c>
      <c r="C1702" s="63" t="s">
        <v>1449</v>
      </c>
      <c r="D1702" s="63">
        <v>30</v>
      </c>
      <c r="E1702" s="66">
        <v>4000</v>
      </c>
      <c r="F1702" s="65">
        <f ca="1">INDIRECT(ADDRESS(ROW(),COLUMN()-2,4))*INDIRECT(ADDRESS(ROW(),COLUMN()-1,4))</f>
        <v>120000</v>
      </c>
      <c r="G1702" s="5"/>
      <c r="H1702" s="5"/>
      <c r="I1702" s="5"/>
      <c r="J1702" s="5"/>
    </row>
    <row r="1703" spans="1:10" ht="14.1" customHeight="1" x14ac:dyDescent="0.2">
      <c r="A1703" s="5"/>
      <c r="B1703" s="5"/>
      <c r="C1703" s="5"/>
      <c r="D1703" s="5"/>
      <c r="E1703" s="68" t="s">
        <v>12550</v>
      </c>
      <c r="F1703" s="69">
        <f ca="1">SUM(Table3106[MONTO TOTAL ESTIMADO])</f>
        <v>425000</v>
      </c>
      <c r="G1703" s="5"/>
      <c r="H1703" s="5" t="str">
        <f>C1694</f>
        <v>Bienes</v>
      </c>
      <c r="I1703" s="5" t="str">
        <f>E1694</f>
        <v>Sí</v>
      </c>
      <c r="J1703" s="5" t="str">
        <f>D1694</f>
        <v>Compras Menores</v>
      </c>
    </row>
    <row r="1704" spans="1:10" ht="14.1" customHeight="1" thickBot="1" x14ac:dyDescent="0.3"/>
    <row r="1705" spans="1:10" ht="33.75" customHeight="1" thickBot="1" x14ac:dyDescent="0.25">
      <c r="A1705" s="59" t="s">
        <v>16382</v>
      </c>
      <c r="B1705" s="59" t="s">
        <v>161</v>
      </c>
      <c r="C1705" s="59" t="s">
        <v>11724</v>
      </c>
      <c r="D1705" s="59" t="s">
        <v>14378</v>
      </c>
      <c r="E1705" s="59" t="s">
        <v>10962</v>
      </c>
      <c r="F1705" s="59" t="s">
        <v>11095</v>
      </c>
      <c r="G1705" s="5"/>
      <c r="H1705" s="5"/>
      <c r="I1705" s="5"/>
      <c r="J1705" s="5"/>
    </row>
    <row r="1706" spans="1:10" ht="13.5" customHeight="1" thickBot="1" x14ac:dyDescent="0.25">
      <c r="A1706" s="77" t="s">
        <v>18887</v>
      </c>
      <c r="B1706" s="77" t="s">
        <v>18889</v>
      </c>
      <c r="C1706" s="61" t="s">
        <v>17797</v>
      </c>
      <c r="D1706" s="61" t="s">
        <v>17482</v>
      </c>
      <c r="E1706" s="61" t="s">
        <v>8854</v>
      </c>
      <c r="F1706" s="61"/>
      <c r="G1706" s="5"/>
      <c r="H1706" s="5"/>
      <c r="I1706" s="5"/>
      <c r="J1706" s="5"/>
    </row>
    <row r="1707" spans="1:10" ht="14.1" customHeight="1" thickBot="1" x14ac:dyDescent="0.25">
      <c r="A1707" s="82" t="s">
        <v>14828</v>
      </c>
      <c r="B1707" s="62" t="s">
        <v>8528</v>
      </c>
      <c r="C1707" s="71">
        <v>43922</v>
      </c>
      <c r="D1707" s="82" t="s">
        <v>9385</v>
      </c>
      <c r="E1707" s="62" t="s">
        <v>13093</v>
      </c>
      <c r="F1707" s="61" t="s">
        <v>3080</v>
      </c>
      <c r="G1707" s="5"/>
      <c r="H1707" s="5"/>
      <c r="I1707" s="5"/>
      <c r="J1707" s="5"/>
    </row>
    <row r="1708" spans="1:10" ht="14.1" customHeight="1" thickBot="1" x14ac:dyDescent="0.25">
      <c r="A1708" s="83"/>
      <c r="B1708" s="62" t="s">
        <v>1786</v>
      </c>
      <c r="C1708" s="60">
        <f>IF(C1707="","",IF(AND(MONTH(C1707)&gt;=1,MONTH(C1707)&lt;=3),1,IF(AND(MONTH(C1707)&gt;=4,MONTH(C1707)&lt;=6),2,IF(AND(MONTH(C1707)&gt;=7,MONTH(C1707)&lt;=9),3,4))))</f>
        <v>2</v>
      </c>
      <c r="D1708" s="83"/>
      <c r="E1708" s="62" t="s">
        <v>2417</v>
      </c>
      <c r="F1708" s="61" t="s">
        <v>11112</v>
      </c>
      <c r="G1708" s="5"/>
      <c r="H1708" s="5"/>
      <c r="I1708" s="5"/>
      <c r="J1708" s="5"/>
    </row>
    <row r="1709" spans="1:10" ht="14.1" customHeight="1" thickBot="1" x14ac:dyDescent="0.25">
      <c r="A1709" s="83"/>
      <c r="B1709" s="62" t="s">
        <v>12942</v>
      </c>
      <c r="C1709" s="71">
        <v>44012</v>
      </c>
      <c r="D1709" s="83"/>
      <c r="E1709" s="62" t="s">
        <v>3073</v>
      </c>
      <c r="F1709" s="61" t="s">
        <v>11112</v>
      </c>
      <c r="G1709" s="5"/>
      <c r="H1709" s="5"/>
      <c r="I1709" s="5"/>
      <c r="J1709" s="5"/>
    </row>
    <row r="1710" spans="1:10" ht="14.1" customHeight="1" thickBot="1" x14ac:dyDescent="0.25">
      <c r="A1710" s="83"/>
      <c r="B1710" s="62" t="s">
        <v>1786</v>
      </c>
      <c r="C1710" s="60">
        <f>IF(C1709="","",IF(AND(MONTH(C1709)&gt;=1,MONTH(C1709)&lt;=3),1,IF(AND(MONTH(C1709)&gt;=4,MONTH(C1709)&lt;=6),2,IF(AND(MONTH(C1709)&gt;=7,MONTH(C1709)&lt;=9),3,4))))</f>
        <v>2</v>
      </c>
      <c r="D1710" s="83"/>
      <c r="E1710" s="62" t="s">
        <v>13192</v>
      </c>
      <c r="F1710" s="61" t="s">
        <v>11112</v>
      </c>
      <c r="G1710" s="5"/>
      <c r="H1710" s="5"/>
      <c r="I1710" s="5"/>
      <c r="J1710" s="5"/>
    </row>
    <row r="1711" spans="1:10" ht="14.1" customHeight="1" thickBot="1" x14ac:dyDescent="0.25">
      <c r="A1711" s="5"/>
      <c r="B1711" s="5"/>
      <c r="C1711" s="5"/>
      <c r="D1711" s="5"/>
      <c r="E1711" s="5"/>
      <c r="F1711" s="5"/>
      <c r="G1711" s="5"/>
      <c r="H1711" s="5"/>
      <c r="I1711" s="5"/>
      <c r="J1711" s="5"/>
    </row>
    <row r="1712" spans="1:10" ht="14.1" customHeight="1" thickBot="1" x14ac:dyDescent="0.25">
      <c r="A1712" s="67" t="s">
        <v>15735</v>
      </c>
      <c r="B1712" s="67" t="s">
        <v>16146</v>
      </c>
      <c r="C1712" s="67" t="s">
        <v>15641</v>
      </c>
      <c r="D1712" s="67" t="s">
        <v>15251</v>
      </c>
      <c r="E1712" s="67" t="s">
        <v>6932</v>
      </c>
      <c r="F1712" s="67" t="s">
        <v>15280</v>
      </c>
      <c r="G1712" s="5"/>
      <c r="H1712" s="5"/>
      <c r="I1712" s="5"/>
      <c r="J1712" s="5"/>
    </row>
    <row r="1713" spans="1:10" ht="13.5" customHeight="1" x14ac:dyDescent="0.2">
      <c r="A1713" s="78">
        <v>53102710</v>
      </c>
      <c r="B1713" s="64" t="str">
        <f ca="1">IFERROR(INDEX(UNSPSCDes,MATCH(INDIRECT(ADDRESS(ROW(),COLUMN()-1,4)),UNSPSCCode,0)),"")</f>
        <v>Uniformes corporativos</v>
      </c>
      <c r="C1713" s="63" t="s">
        <v>1449</v>
      </c>
      <c r="D1713" s="63">
        <v>61</v>
      </c>
      <c r="E1713" s="66">
        <v>5000</v>
      </c>
      <c r="F1713" s="65">
        <f ca="1">INDIRECT(ADDRESS(ROW(),COLUMN()-2,4))*INDIRECT(ADDRESS(ROW(),COLUMN()-1,4))</f>
        <v>305000</v>
      </c>
      <c r="G1713" s="5"/>
      <c r="H1713" s="5"/>
      <c r="I1713" s="5"/>
      <c r="J1713" s="5"/>
    </row>
    <row r="1714" spans="1:10" ht="27" customHeight="1" x14ac:dyDescent="0.2">
      <c r="A1714" s="78">
        <v>53102704</v>
      </c>
      <c r="B1714" s="64" t="str">
        <f ca="1">IFERROR(INDEX(UNSPSCDes,MATCH(INDIRECT(ADDRESS(ROW(),COLUMN()-1,4)),UNSPSCCode,0)),"")</f>
        <v>Uniformes institucionales para preparación de alimentos o servicio</v>
      </c>
      <c r="C1714" s="63" t="s">
        <v>1449</v>
      </c>
      <c r="D1714" s="63">
        <v>30</v>
      </c>
      <c r="E1714" s="66">
        <v>4000</v>
      </c>
      <c r="F1714" s="65">
        <f ca="1">INDIRECT(ADDRESS(ROW(),COLUMN()-2,4))*INDIRECT(ADDRESS(ROW(),COLUMN()-1,4))</f>
        <v>120000</v>
      </c>
      <c r="G1714" s="5"/>
      <c r="H1714" s="5"/>
      <c r="I1714" s="5"/>
      <c r="J1714" s="5"/>
    </row>
    <row r="1715" spans="1:10" ht="14.1" customHeight="1" x14ac:dyDescent="0.2">
      <c r="A1715" s="5"/>
      <c r="B1715" s="5"/>
      <c r="C1715" s="5"/>
      <c r="D1715" s="5"/>
      <c r="E1715" s="68" t="s">
        <v>12550</v>
      </c>
      <c r="F1715" s="69">
        <f ca="1">SUM(Table3107[MONTO TOTAL ESTIMADO])</f>
        <v>425000</v>
      </c>
      <c r="G1715" s="5"/>
      <c r="H1715" s="5" t="str">
        <f>C1706</f>
        <v>Bienes</v>
      </c>
      <c r="I1715" s="5" t="str">
        <f>E1706</f>
        <v>Sí</v>
      </c>
      <c r="J1715" s="5" t="str">
        <f>D1706</f>
        <v>Compras Menores</v>
      </c>
    </row>
    <row r="1716" spans="1:10" ht="14.1" customHeight="1" thickBot="1" x14ac:dyDescent="0.3"/>
    <row r="1717" spans="1:10" ht="33.75" customHeight="1" thickBot="1" x14ac:dyDescent="0.25">
      <c r="A1717" s="59" t="s">
        <v>16382</v>
      </c>
      <c r="B1717" s="59" t="s">
        <v>161</v>
      </c>
      <c r="C1717" s="59" t="s">
        <v>11724</v>
      </c>
      <c r="D1717" s="59" t="s">
        <v>14378</v>
      </c>
      <c r="E1717" s="59" t="s">
        <v>10962</v>
      </c>
      <c r="F1717" s="59" t="s">
        <v>11095</v>
      </c>
      <c r="G1717" s="5"/>
      <c r="H1717" s="5"/>
      <c r="I1717" s="5"/>
      <c r="J1717" s="5"/>
    </row>
    <row r="1718" spans="1:10" ht="13.5" customHeight="1" thickBot="1" x14ac:dyDescent="0.25">
      <c r="A1718" s="77" t="s">
        <v>18887</v>
      </c>
      <c r="B1718" s="77" t="s">
        <v>18889</v>
      </c>
      <c r="C1718" s="61" t="s">
        <v>17797</v>
      </c>
      <c r="D1718" s="61" t="s">
        <v>17482</v>
      </c>
      <c r="E1718" s="61" t="s">
        <v>8854</v>
      </c>
      <c r="F1718" s="61"/>
      <c r="G1718" s="5"/>
      <c r="H1718" s="5"/>
      <c r="I1718" s="5"/>
      <c r="J1718" s="5"/>
    </row>
    <row r="1719" spans="1:10" ht="14.1" customHeight="1" thickBot="1" x14ac:dyDescent="0.25">
      <c r="A1719" s="82" t="s">
        <v>14828</v>
      </c>
      <c r="B1719" s="62" t="s">
        <v>8528</v>
      </c>
      <c r="C1719" s="71">
        <v>44013</v>
      </c>
      <c r="D1719" s="82" t="s">
        <v>9385</v>
      </c>
      <c r="E1719" s="62" t="s">
        <v>13093</v>
      </c>
      <c r="F1719" s="61" t="s">
        <v>3080</v>
      </c>
      <c r="G1719" s="5"/>
      <c r="H1719" s="5"/>
      <c r="I1719" s="5"/>
      <c r="J1719" s="5"/>
    </row>
    <row r="1720" spans="1:10" ht="14.1" customHeight="1" thickBot="1" x14ac:dyDescent="0.25">
      <c r="A1720" s="83"/>
      <c r="B1720" s="62" t="s">
        <v>1786</v>
      </c>
      <c r="C1720" s="60">
        <f>IF(C1719="","",IF(AND(MONTH(C1719)&gt;=1,MONTH(C1719)&lt;=3),1,IF(AND(MONTH(C1719)&gt;=4,MONTH(C1719)&lt;=6),2,IF(AND(MONTH(C1719)&gt;=7,MONTH(C1719)&lt;=9),3,4))))</f>
        <v>3</v>
      </c>
      <c r="D1720" s="83"/>
      <c r="E1720" s="62" t="s">
        <v>2417</v>
      </c>
      <c r="F1720" s="61" t="s">
        <v>11112</v>
      </c>
      <c r="G1720" s="5"/>
      <c r="H1720" s="5"/>
      <c r="I1720" s="5"/>
      <c r="J1720" s="5"/>
    </row>
    <row r="1721" spans="1:10" ht="14.1" customHeight="1" thickBot="1" x14ac:dyDescent="0.25">
      <c r="A1721" s="83"/>
      <c r="B1721" s="62" t="s">
        <v>12942</v>
      </c>
      <c r="C1721" s="71">
        <v>44104</v>
      </c>
      <c r="D1721" s="83"/>
      <c r="E1721" s="62" t="s">
        <v>3073</v>
      </c>
      <c r="F1721" s="61" t="s">
        <v>11112</v>
      </c>
      <c r="G1721" s="5"/>
      <c r="H1721" s="5"/>
      <c r="I1721" s="5"/>
      <c r="J1721" s="5"/>
    </row>
    <row r="1722" spans="1:10" ht="14.1" customHeight="1" thickBot="1" x14ac:dyDescent="0.25">
      <c r="A1722" s="83"/>
      <c r="B1722" s="62" t="s">
        <v>1786</v>
      </c>
      <c r="C1722" s="60">
        <f>IF(C1721="","",IF(AND(MONTH(C1721)&gt;=1,MONTH(C1721)&lt;=3),1,IF(AND(MONTH(C1721)&gt;=4,MONTH(C1721)&lt;=6),2,IF(AND(MONTH(C1721)&gt;=7,MONTH(C1721)&lt;=9),3,4))))</f>
        <v>3</v>
      </c>
      <c r="D1722" s="83"/>
      <c r="E1722" s="62" t="s">
        <v>13192</v>
      </c>
      <c r="F1722" s="61" t="s">
        <v>11112</v>
      </c>
      <c r="G1722" s="5"/>
      <c r="H1722" s="5"/>
      <c r="I1722" s="5"/>
      <c r="J1722" s="5"/>
    </row>
    <row r="1723" spans="1:10" ht="14.1" customHeight="1" thickBot="1" x14ac:dyDescent="0.25">
      <c r="A1723" s="5"/>
      <c r="B1723" s="5"/>
      <c r="C1723" s="5"/>
      <c r="D1723" s="5"/>
      <c r="E1723" s="5"/>
      <c r="F1723" s="5"/>
      <c r="G1723" s="5"/>
      <c r="H1723" s="5"/>
      <c r="I1723" s="5"/>
      <c r="J1723" s="5"/>
    </row>
    <row r="1724" spans="1:10" ht="14.1" customHeight="1" thickBot="1" x14ac:dyDescent="0.25">
      <c r="A1724" s="67" t="s">
        <v>15735</v>
      </c>
      <c r="B1724" s="67" t="s">
        <v>16146</v>
      </c>
      <c r="C1724" s="67" t="s">
        <v>15641</v>
      </c>
      <c r="D1724" s="67" t="s">
        <v>15251</v>
      </c>
      <c r="E1724" s="67" t="s">
        <v>6932</v>
      </c>
      <c r="F1724" s="67" t="s">
        <v>15280</v>
      </c>
      <c r="G1724" s="5"/>
      <c r="H1724" s="5"/>
      <c r="I1724" s="5"/>
      <c r="J1724" s="5"/>
    </row>
    <row r="1725" spans="1:10" ht="13.5" customHeight="1" x14ac:dyDescent="0.2">
      <c r="A1725" s="78">
        <v>53102710</v>
      </c>
      <c r="B1725" s="64" t="str">
        <f ca="1">IFERROR(INDEX(UNSPSCDes,MATCH(INDIRECT(ADDRESS(ROW(),COLUMN()-1,4)),UNSPSCCode,0)),"")</f>
        <v>Uniformes corporativos</v>
      </c>
      <c r="C1725" s="63" t="s">
        <v>1449</v>
      </c>
      <c r="D1725" s="63">
        <v>61</v>
      </c>
      <c r="E1725" s="66">
        <v>5000</v>
      </c>
      <c r="F1725" s="65">
        <f ca="1">INDIRECT(ADDRESS(ROW(),COLUMN()-2,4))*INDIRECT(ADDRESS(ROW(),COLUMN()-1,4))</f>
        <v>305000</v>
      </c>
      <c r="G1725" s="5"/>
      <c r="H1725" s="5"/>
      <c r="I1725" s="5"/>
      <c r="J1725" s="5"/>
    </row>
    <row r="1726" spans="1:10" ht="27" customHeight="1" x14ac:dyDescent="0.2">
      <c r="A1726" s="78">
        <v>53102704</v>
      </c>
      <c r="B1726" s="64" t="str">
        <f ca="1">IFERROR(INDEX(UNSPSCDes,MATCH(INDIRECT(ADDRESS(ROW(),COLUMN()-1,4)),UNSPSCCode,0)),"")</f>
        <v>Uniformes institucionales para preparación de alimentos o servicio</v>
      </c>
      <c r="C1726" s="63" t="s">
        <v>1449</v>
      </c>
      <c r="D1726" s="63">
        <v>30</v>
      </c>
      <c r="E1726" s="66">
        <v>4000</v>
      </c>
      <c r="F1726" s="65">
        <f ca="1">INDIRECT(ADDRESS(ROW(),COLUMN()-2,4))*INDIRECT(ADDRESS(ROW(),COLUMN()-1,4))</f>
        <v>120000</v>
      </c>
      <c r="G1726" s="5"/>
      <c r="H1726" s="5"/>
      <c r="I1726" s="5"/>
      <c r="J1726" s="5"/>
    </row>
    <row r="1727" spans="1:10" ht="14.1" customHeight="1" x14ac:dyDescent="0.2">
      <c r="A1727" s="5"/>
      <c r="B1727" s="5"/>
      <c r="C1727" s="5"/>
      <c r="D1727" s="5"/>
      <c r="E1727" s="68" t="s">
        <v>12550</v>
      </c>
      <c r="F1727" s="69">
        <f ca="1">SUM(Table3108[MONTO TOTAL ESTIMADO])</f>
        <v>425000</v>
      </c>
      <c r="G1727" s="5"/>
      <c r="H1727" s="5" t="str">
        <f>C1718</f>
        <v>Bienes</v>
      </c>
      <c r="I1727" s="5" t="str">
        <f>E1718</f>
        <v>Sí</v>
      </c>
      <c r="J1727" s="5" t="str">
        <f>D1718</f>
        <v>Compras Menores</v>
      </c>
    </row>
    <row r="1728" spans="1:10" ht="14.1" customHeight="1" thickBot="1" x14ac:dyDescent="0.3"/>
    <row r="1729" spans="1:10" ht="33.75" customHeight="1" thickBot="1" x14ac:dyDescent="0.25">
      <c r="A1729" s="59" t="s">
        <v>16382</v>
      </c>
      <c r="B1729" s="59" t="s">
        <v>161</v>
      </c>
      <c r="C1729" s="59" t="s">
        <v>11724</v>
      </c>
      <c r="D1729" s="59" t="s">
        <v>14378</v>
      </c>
      <c r="E1729" s="59" t="s">
        <v>10962</v>
      </c>
      <c r="F1729" s="59" t="s">
        <v>11095</v>
      </c>
      <c r="G1729" s="5"/>
      <c r="H1729" s="5"/>
      <c r="I1729" s="5"/>
      <c r="J1729" s="5"/>
    </row>
    <row r="1730" spans="1:10" ht="13.5" customHeight="1" thickBot="1" x14ac:dyDescent="0.25">
      <c r="A1730" s="77" t="s">
        <v>18887</v>
      </c>
      <c r="B1730" s="77" t="s">
        <v>18889</v>
      </c>
      <c r="C1730" s="61" t="s">
        <v>17797</v>
      </c>
      <c r="D1730" s="61" t="s">
        <v>17482</v>
      </c>
      <c r="E1730" s="61" t="s">
        <v>8854</v>
      </c>
      <c r="F1730" s="61"/>
      <c r="G1730" s="5"/>
      <c r="H1730" s="5"/>
      <c r="I1730" s="5"/>
      <c r="J1730" s="5"/>
    </row>
    <row r="1731" spans="1:10" ht="14.1" customHeight="1" thickBot="1" x14ac:dyDescent="0.25">
      <c r="A1731" s="82" t="s">
        <v>14828</v>
      </c>
      <c r="B1731" s="62" t="s">
        <v>8528</v>
      </c>
      <c r="C1731" s="71">
        <v>44105</v>
      </c>
      <c r="D1731" s="82" t="s">
        <v>9385</v>
      </c>
      <c r="E1731" s="62" t="s">
        <v>13093</v>
      </c>
      <c r="F1731" s="61" t="s">
        <v>3080</v>
      </c>
      <c r="G1731" s="5"/>
      <c r="H1731" s="5"/>
      <c r="I1731" s="5"/>
      <c r="J1731" s="5"/>
    </row>
    <row r="1732" spans="1:10" ht="14.1" customHeight="1" thickBot="1" x14ac:dyDescent="0.25">
      <c r="A1732" s="83"/>
      <c r="B1732" s="62" t="s">
        <v>1786</v>
      </c>
      <c r="C1732" s="60">
        <f>IF(C1731="","",IF(AND(MONTH(C1731)&gt;=1,MONTH(C1731)&lt;=3),1,IF(AND(MONTH(C1731)&gt;=4,MONTH(C1731)&lt;=6),2,IF(AND(MONTH(C1731)&gt;=7,MONTH(C1731)&lt;=9),3,4))))</f>
        <v>4</v>
      </c>
      <c r="D1732" s="83"/>
      <c r="E1732" s="62" t="s">
        <v>2417</v>
      </c>
      <c r="F1732" s="61" t="s">
        <v>11112</v>
      </c>
      <c r="G1732" s="5"/>
      <c r="H1732" s="5"/>
      <c r="I1732" s="5"/>
      <c r="J1732" s="5"/>
    </row>
    <row r="1733" spans="1:10" ht="14.1" customHeight="1" thickBot="1" x14ac:dyDescent="0.25">
      <c r="A1733" s="83"/>
      <c r="B1733" s="62" t="s">
        <v>12942</v>
      </c>
      <c r="C1733" s="71">
        <v>44196</v>
      </c>
      <c r="D1733" s="83"/>
      <c r="E1733" s="62" t="s">
        <v>3073</v>
      </c>
      <c r="F1733" s="61" t="s">
        <v>11112</v>
      </c>
      <c r="G1733" s="5"/>
      <c r="H1733" s="5"/>
      <c r="I1733" s="5"/>
      <c r="J1733" s="5"/>
    </row>
    <row r="1734" spans="1:10" ht="14.1" customHeight="1" thickBot="1" x14ac:dyDescent="0.25">
      <c r="A1734" s="83"/>
      <c r="B1734" s="62" t="s">
        <v>1786</v>
      </c>
      <c r="C1734" s="60">
        <f>IF(C1733="","",IF(AND(MONTH(C1733)&gt;=1,MONTH(C1733)&lt;=3),1,IF(AND(MONTH(C1733)&gt;=4,MONTH(C1733)&lt;=6),2,IF(AND(MONTH(C1733)&gt;=7,MONTH(C1733)&lt;=9),3,4))))</f>
        <v>4</v>
      </c>
      <c r="D1734" s="83"/>
      <c r="E1734" s="62" t="s">
        <v>13192</v>
      </c>
      <c r="F1734" s="61" t="s">
        <v>11112</v>
      </c>
      <c r="G1734" s="5"/>
      <c r="H1734" s="5"/>
      <c r="I1734" s="5"/>
      <c r="J1734" s="5"/>
    </row>
    <row r="1735" spans="1:10" ht="14.1" customHeight="1" thickBot="1" x14ac:dyDescent="0.25">
      <c r="A1735" s="5"/>
      <c r="B1735" s="5"/>
      <c r="C1735" s="5"/>
      <c r="D1735" s="5"/>
      <c r="E1735" s="5"/>
      <c r="F1735" s="5"/>
      <c r="G1735" s="5"/>
      <c r="H1735" s="5"/>
      <c r="I1735" s="5"/>
      <c r="J1735" s="5"/>
    </row>
    <row r="1736" spans="1:10" ht="14.1" customHeight="1" thickBot="1" x14ac:dyDescent="0.25">
      <c r="A1736" s="67" t="s">
        <v>15735</v>
      </c>
      <c r="B1736" s="67" t="s">
        <v>16146</v>
      </c>
      <c r="C1736" s="67" t="s">
        <v>15641</v>
      </c>
      <c r="D1736" s="67" t="s">
        <v>15251</v>
      </c>
      <c r="E1736" s="67" t="s">
        <v>6932</v>
      </c>
      <c r="F1736" s="67" t="s">
        <v>15280</v>
      </c>
      <c r="G1736" s="5"/>
      <c r="H1736" s="5"/>
      <c r="I1736" s="5"/>
      <c r="J1736" s="5"/>
    </row>
    <row r="1737" spans="1:10" ht="13.5" customHeight="1" x14ac:dyDescent="0.2">
      <c r="A1737" s="78">
        <v>53102710</v>
      </c>
      <c r="B1737" s="64" t="str">
        <f ca="1">IFERROR(INDEX(UNSPSCDes,MATCH(INDIRECT(ADDRESS(ROW(),COLUMN()-1,4)),UNSPSCCode,0)),"")</f>
        <v>Uniformes corporativos</v>
      </c>
      <c r="C1737" s="63" t="s">
        <v>1449</v>
      </c>
      <c r="D1737" s="63">
        <v>61</v>
      </c>
      <c r="E1737" s="66">
        <v>5000</v>
      </c>
      <c r="F1737" s="65">
        <f ca="1">INDIRECT(ADDRESS(ROW(),COLUMN()-2,4))*INDIRECT(ADDRESS(ROW(),COLUMN()-1,4))</f>
        <v>305000</v>
      </c>
      <c r="G1737" s="5"/>
      <c r="H1737" s="5"/>
      <c r="I1737" s="5"/>
      <c r="J1737" s="5"/>
    </row>
    <row r="1738" spans="1:10" ht="27" customHeight="1" x14ac:dyDescent="0.2">
      <c r="A1738" s="78">
        <v>53102704</v>
      </c>
      <c r="B1738" s="64" t="str">
        <f ca="1">IFERROR(INDEX(UNSPSCDes,MATCH(INDIRECT(ADDRESS(ROW(),COLUMN()-1,4)),UNSPSCCode,0)),"")</f>
        <v>Uniformes institucionales para preparación de alimentos o servicio</v>
      </c>
      <c r="C1738" s="63" t="s">
        <v>1449</v>
      </c>
      <c r="D1738" s="63">
        <v>30</v>
      </c>
      <c r="E1738" s="66">
        <v>4000</v>
      </c>
      <c r="F1738" s="65">
        <f ca="1">INDIRECT(ADDRESS(ROW(),COLUMN()-2,4))*INDIRECT(ADDRESS(ROW(),COLUMN()-1,4))</f>
        <v>120000</v>
      </c>
      <c r="G1738" s="5"/>
      <c r="H1738" s="5"/>
      <c r="I1738" s="5"/>
      <c r="J1738" s="5"/>
    </row>
    <row r="1739" spans="1:10" ht="14.1" customHeight="1" x14ac:dyDescent="0.2">
      <c r="A1739" s="5"/>
      <c r="B1739" s="5"/>
      <c r="C1739" s="5"/>
      <c r="D1739" s="5"/>
      <c r="E1739" s="68" t="s">
        <v>12550</v>
      </c>
      <c r="F1739" s="69">
        <f ca="1">SUM(Table3109[MONTO TOTAL ESTIMADO])</f>
        <v>425000</v>
      </c>
      <c r="G1739" s="5"/>
      <c r="H1739" s="5" t="str">
        <f>C1730</f>
        <v>Bienes</v>
      </c>
      <c r="I1739" s="5" t="str">
        <f>E1730</f>
        <v>Sí</v>
      </c>
      <c r="J1739" s="5" t="str">
        <f>D1730</f>
        <v>Compras Menores</v>
      </c>
    </row>
    <row r="1740" spans="1:10" ht="14.1" customHeight="1" thickBot="1" x14ac:dyDescent="0.3"/>
    <row r="1741" spans="1:10" ht="33.75" customHeight="1" thickBot="1" x14ac:dyDescent="0.25">
      <c r="A1741" s="59" t="s">
        <v>16382</v>
      </c>
      <c r="B1741" s="59" t="s">
        <v>161</v>
      </c>
      <c r="C1741" s="59" t="s">
        <v>11724</v>
      </c>
      <c r="D1741" s="59" t="s">
        <v>14378</v>
      </c>
      <c r="E1741" s="59" t="s">
        <v>10962</v>
      </c>
      <c r="F1741" s="59" t="s">
        <v>11095</v>
      </c>
      <c r="G1741" s="5"/>
      <c r="H1741" s="5"/>
      <c r="I1741" s="5"/>
      <c r="J1741" s="5"/>
    </row>
    <row r="1742" spans="1:10" ht="13.5" customHeight="1" thickBot="1" x14ac:dyDescent="0.25">
      <c r="A1742" s="77" t="s">
        <v>18890</v>
      </c>
      <c r="B1742" s="77" t="s">
        <v>18891</v>
      </c>
      <c r="C1742" s="61" t="s">
        <v>17797</v>
      </c>
      <c r="D1742" s="61" t="s">
        <v>17482</v>
      </c>
      <c r="E1742" s="61" t="s">
        <v>8854</v>
      </c>
      <c r="F1742" s="61"/>
      <c r="G1742" s="5"/>
      <c r="H1742" s="5"/>
      <c r="I1742" s="5"/>
      <c r="J1742" s="5"/>
    </row>
    <row r="1743" spans="1:10" ht="14.1" customHeight="1" thickBot="1" x14ac:dyDescent="0.25">
      <c r="A1743" s="82" t="s">
        <v>14828</v>
      </c>
      <c r="B1743" s="62" t="s">
        <v>8528</v>
      </c>
      <c r="C1743" s="71">
        <v>43831</v>
      </c>
      <c r="D1743" s="82" t="s">
        <v>9385</v>
      </c>
      <c r="E1743" s="62" t="s">
        <v>13093</v>
      </c>
      <c r="F1743" s="61" t="s">
        <v>3080</v>
      </c>
      <c r="G1743" s="5"/>
      <c r="H1743" s="5"/>
      <c r="I1743" s="5"/>
      <c r="J1743" s="5"/>
    </row>
    <row r="1744" spans="1:10" ht="14.1" customHeight="1" thickBot="1" x14ac:dyDescent="0.25">
      <c r="A1744" s="83"/>
      <c r="B1744" s="62" t="s">
        <v>1786</v>
      </c>
      <c r="C1744" s="60">
        <f>IF(C1743="","",IF(AND(MONTH(C1743)&gt;=1,MONTH(C1743)&lt;=3),1,IF(AND(MONTH(C1743)&gt;=4,MONTH(C1743)&lt;=6),2,IF(AND(MONTH(C1743)&gt;=7,MONTH(C1743)&lt;=9),3,4))))</f>
        <v>1</v>
      </c>
      <c r="D1744" s="83"/>
      <c r="E1744" s="62" t="s">
        <v>2417</v>
      </c>
      <c r="F1744" s="61" t="s">
        <v>11112</v>
      </c>
      <c r="G1744" s="5"/>
      <c r="H1744" s="5"/>
      <c r="I1744" s="5"/>
      <c r="J1744" s="5"/>
    </row>
    <row r="1745" spans="1:10" ht="14.1" customHeight="1" thickBot="1" x14ac:dyDescent="0.25">
      <c r="A1745" s="83"/>
      <c r="B1745" s="62" t="s">
        <v>12942</v>
      </c>
      <c r="C1745" s="71">
        <v>43921</v>
      </c>
      <c r="D1745" s="83"/>
      <c r="E1745" s="62" t="s">
        <v>3073</v>
      </c>
      <c r="F1745" s="61" t="s">
        <v>11112</v>
      </c>
      <c r="G1745" s="5"/>
      <c r="H1745" s="5"/>
      <c r="I1745" s="5"/>
      <c r="J1745" s="5"/>
    </row>
    <row r="1746" spans="1:10" ht="14.1" customHeight="1" thickBot="1" x14ac:dyDescent="0.25">
      <c r="A1746" s="83"/>
      <c r="B1746" s="62" t="s">
        <v>1786</v>
      </c>
      <c r="C1746" s="60">
        <f>IF(C1745="","",IF(AND(MONTH(C1745)&gt;=1,MONTH(C1745)&lt;=3),1,IF(AND(MONTH(C1745)&gt;=4,MONTH(C1745)&lt;=6),2,IF(AND(MONTH(C1745)&gt;=7,MONTH(C1745)&lt;=9),3,4))))</f>
        <v>1</v>
      </c>
      <c r="D1746" s="83"/>
      <c r="E1746" s="62" t="s">
        <v>13192</v>
      </c>
      <c r="F1746" s="61" t="s">
        <v>11112</v>
      </c>
      <c r="G1746" s="5"/>
      <c r="H1746" s="5"/>
      <c r="I1746" s="5"/>
      <c r="J1746" s="5"/>
    </row>
    <row r="1747" spans="1:10" ht="14.1" customHeight="1" thickBot="1" x14ac:dyDescent="0.25">
      <c r="A1747" s="5"/>
      <c r="B1747" s="5"/>
      <c r="C1747" s="5"/>
      <c r="D1747" s="5"/>
      <c r="E1747" s="5"/>
      <c r="F1747" s="5"/>
      <c r="G1747" s="5"/>
      <c r="H1747" s="5"/>
      <c r="I1747" s="5"/>
      <c r="J1747" s="5"/>
    </row>
    <row r="1748" spans="1:10" ht="14.1" customHeight="1" thickBot="1" x14ac:dyDescent="0.25">
      <c r="A1748" s="67" t="s">
        <v>15735</v>
      </c>
      <c r="B1748" s="67" t="s">
        <v>16146</v>
      </c>
      <c r="C1748" s="67" t="s">
        <v>15641</v>
      </c>
      <c r="D1748" s="67" t="s">
        <v>15251</v>
      </c>
      <c r="E1748" s="67" t="s">
        <v>6932</v>
      </c>
      <c r="F1748" s="67" t="s">
        <v>15280</v>
      </c>
      <c r="G1748" s="5"/>
      <c r="H1748" s="5"/>
      <c r="I1748" s="5"/>
      <c r="J1748" s="5"/>
    </row>
    <row r="1749" spans="1:10" ht="13.5" customHeight="1" x14ac:dyDescent="0.2">
      <c r="A1749" s="78">
        <v>53103001</v>
      </c>
      <c r="B1749" s="64" t="str">
        <f ca="1">IFERROR(INDEX(UNSPSCDes,MATCH(INDIRECT(ADDRESS(ROW(),COLUMN()-1,4)),UNSPSCCode,0)),"")</f>
        <v>Camisetas (t-shirts) para hombre</v>
      </c>
      <c r="C1749" s="63" t="s">
        <v>1449</v>
      </c>
      <c r="D1749" s="63">
        <v>100</v>
      </c>
      <c r="E1749" s="66">
        <v>1500</v>
      </c>
      <c r="F1749" s="65">
        <f ca="1">INDIRECT(ADDRESS(ROW(),COLUMN()-2,4))*INDIRECT(ADDRESS(ROW(),COLUMN()-1,4))</f>
        <v>150000</v>
      </c>
      <c r="G1749" s="5"/>
      <c r="H1749" s="5"/>
      <c r="I1749" s="5"/>
      <c r="J1749" s="5"/>
    </row>
    <row r="1750" spans="1:10" ht="13.5" customHeight="1" x14ac:dyDescent="0.2">
      <c r="A1750" s="78">
        <v>53102516</v>
      </c>
      <c r="B1750" s="64" t="str">
        <f ca="1">IFERROR(INDEX(UNSPSCDes,MATCH(INDIRECT(ADDRESS(ROW(),COLUMN()-1,4)),UNSPSCCode,0)),"")</f>
        <v>Gorras</v>
      </c>
      <c r="C1750" s="63" t="s">
        <v>1449</v>
      </c>
      <c r="D1750" s="63">
        <v>100</v>
      </c>
      <c r="E1750" s="66">
        <v>1000</v>
      </c>
      <c r="F1750" s="65">
        <f ca="1">INDIRECT(ADDRESS(ROW(),COLUMN()-2,4))*INDIRECT(ADDRESS(ROW(),COLUMN()-1,4))</f>
        <v>100000</v>
      </c>
      <c r="G1750" s="5"/>
      <c r="H1750" s="5"/>
      <c r="I1750" s="5"/>
      <c r="J1750" s="5"/>
    </row>
    <row r="1751" spans="1:10" ht="14.1" customHeight="1" x14ac:dyDescent="0.2">
      <c r="A1751" s="5"/>
      <c r="B1751" s="5"/>
      <c r="C1751" s="5"/>
      <c r="D1751" s="5"/>
      <c r="E1751" s="68" t="s">
        <v>12550</v>
      </c>
      <c r="F1751" s="69">
        <f ca="1">SUM(Table3110[MONTO TOTAL ESTIMADO])</f>
        <v>250000</v>
      </c>
      <c r="G1751" s="5"/>
      <c r="H1751" s="5" t="str">
        <f>C1742</f>
        <v>Bienes</v>
      </c>
      <c r="I1751" s="5" t="str">
        <f>E1742</f>
        <v>Sí</v>
      </c>
      <c r="J1751" s="5" t="str">
        <f>D1742</f>
        <v>Compras Menores</v>
      </c>
    </row>
    <row r="1752" spans="1:10" ht="14.1" customHeight="1" thickBot="1" x14ac:dyDescent="0.3"/>
    <row r="1753" spans="1:10" ht="33.75" customHeight="1" thickBot="1" x14ac:dyDescent="0.25">
      <c r="A1753" s="59" t="s">
        <v>16382</v>
      </c>
      <c r="B1753" s="59" t="s">
        <v>161</v>
      </c>
      <c r="C1753" s="59" t="s">
        <v>11724</v>
      </c>
      <c r="D1753" s="59" t="s">
        <v>14378</v>
      </c>
      <c r="E1753" s="59" t="s">
        <v>10962</v>
      </c>
      <c r="F1753" s="59" t="s">
        <v>11095</v>
      </c>
      <c r="G1753" s="5"/>
      <c r="H1753" s="5"/>
      <c r="I1753" s="5"/>
      <c r="J1753" s="5"/>
    </row>
    <row r="1754" spans="1:10" ht="13.5" customHeight="1" thickBot="1" x14ac:dyDescent="0.25">
      <c r="A1754" s="77" t="s">
        <v>18890</v>
      </c>
      <c r="B1754" s="77" t="s">
        <v>18891</v>
      </c>
      <c r="C1754" s="61" t="s">
        <v>17797</v>
      </c>
      <c r="D1754" s="61" t="s">
        <v>17482</v>
      </c>
      <c r="E1754" s="61" t="s">
        <v>8854</v>
      </c>
      <c r="F1754" s="61"/>
      <c r="G1754" s="5"/>
      <c r="H1754" s="5"/>
      <c r="I1754" s="5"/>
      <c r="J1754" s="5"/>
    </row>
    <row r="1755" spans="1:10" ht="14.1" customHeight="1" thickBot="1" x14ac:dyDescent="0.25">
      <c r="A1755" s="82" t="s">
        <v>14828</v>
      </c>
      <c r="B1755" s="62" t="s">
        <v>8528</v>
      </c>
      <c r="C1755" s="71">
        <v>43922</v>
      </c>
      <c r="D1755" s="82" t="s">
        <v>9385</v>
      </c>
      <c r="E1755" s="62" t="s">
        <v>13093</v>
      </c>
      <c r="F1755" s="61" t="s">
        <v>3080</v>
      </c>
      <c r="G1755" s="5"/>
      <c r="H1755" s="5"/>
      <c r="I1755" s="5"/>
      <c r="J1755" s="5"/>
    </row>
    <row r="1756" spans="1:10" ht="14.1" customHeight="1" thickBot="1" x14ac:dyDescent="0.25">
      <c r="A1756" s="83"/>
      <c r="B1756" s="62" t="s">
        <v>1786</v>
      </c>
      <c r="C1756" s="60">
        <f>IF(C1755="","",IF(AND(MONTH(C1755)&gt;=1,MONTH(C1755)&lt;=3),1,IF(AND(MONTH(C1755)&gt;=4,MONTH(C1755)&lt;=6),2,IF(AND(MONTH(C1755)&gt;=7,MONTH(C1755)&lt;=9),3,4))))</f>
        <v>2</v>
      </c>
      <c r="D1756" s="83"/>
      <c r="E1756" s="62" t="s">
        <v>2417</v>
      </c>
      <c r="F1756" s="61" t="s">
        <v>11112</v>
      </c>
      <c r="G1756" s="5"/>
      <c r="H1756" s="5"/>
      <c r="I1756" s="5"/>
      <c r="J1756" s="5"/>
    </row>
    <row r="1757" spans="1:10" ht="14.1" customHeight="1" thickBot="1" x14ac:dyDescent="0.25">
      <c r="A1757" s="83"/>
      <c r="B1757" s="62" t="s">
        <v>12942</v>
      </c>
      <c r="C1757" s="71">
        <v>44012</v>
      </c>
      <c r="D1757" s="83"/>
      <c r="E1757" s="62" t="s">
        <v>3073</v>
      </c>
      <c r="F1757" s="61" t="s">
        <v>11112</v>
      </c>
      <c r="G1757" s="5"/>
      <c r="H1757" s="5"/>
      <c r="I1757" s="5"/>
      <c r="J1757" s="5"/>
    </row>
    <row r="1758" spans="1:10" ht="14.1" customHeight="1" thickBot="1" x14ac:dyDescent="0.25">
      <c r="A1758" s="83"/>
      <c r="B1758" s="62" t="s">
        <v>1786</v>
      </c>
      <c r="C1758" s="60">
        <f>IF(C1757="","",IF(AND(MONTH(C1757)&gt;=1,MONTH(C1757)&lt;=3),1,IF(AND(MONTH(C1757)&gt;=4,MONTH(C1757)&lt;=6),2,IF(AND(MONTH(C1757)&gt;=7,MONTH(C1757)&lt;=9),3,4))))</f>
        <v>2</v>
      </c>
      <c r="D1758" s="83"/>
      <c r="E1758" s="62" t="s">
        <v>13192</v>
      </c>
      <c r="F1758" s="61" t="s">
        <v>11112</v>
      </c>
      <c r="G1758" s="5"/>
      <c r="H1758" s="5"/>
      <c r="I1758" s="5"/>
      <c r="J1758" s="5"/>
    </row>
    <row r="1759" spans="1:10" ht="14.1" customHeight="1" thickBot="1" x14ac:dyDescent="0.25">
      <c r="A1759" s="5"/>
      <c r="B1759" s="5"/>
      <c r="C1759" s="5"/>
      <c r="D1759" s="5"/>
      <c r="E1759" s="5"/>
      <c r="F1759" s="5"/>
      <c r="G1759" s="5"/>
      <c r="H1759" s="5"/>
      <c r="I1759" s="5"/>
      <c r="J1759" s="5"/>
    </row>
    <row r="1760" spans="1:10" ht="14.1" customHeight="1" thickBot="1" x14ac:dyDescent="0.25">
      <c r="A1760" s="67" t="s">
        <v>15735</v>
      </c>
      <c r="B1760" s="67" t="s">
        <v>16146</v>
      </c>
      <c r="C1760" s="67" t="s">
        <v>15641</v>
      </c>
      <c r="D1760" s="67" t="s">
        <v>15251</v>
      </c>
      <c r="E1760" s="67" t="s">
        <v>6932</v>
      </c>
      <c r="F1760" s="67" t="s">
        <v>15280</v>
      </c>
      <c r="G1760" s="5"/>
      <c r="H1760" s="5"/>
      <c r="I1760" s="5"/>
      <c r="J1760" s="5"/>
    </row>
    <row r="1761" spans="1:10" ht="13.5" customHeight="1" x14ac:dyDescent="0.2">
      <c r="A1761" s="78">
        <v>53103001</v>
      </c>
      <c r="B1761" s="64" t="str">
        <f ca="1">IFERROR(INDEX(UNSPSCDes,MATCH(INDIRECT(ADDRESS(ROW(),COLUMN()-1,4)),UNSPSCCode,0)),"")</f>
        <v>Camisetas (t-shirts) para hombre</v>
      </c>
      <c r="C1761" s="63" t="s">
        <v>1449</v>
      </c>
      <c r="D1761" s="63">
        <v>100</v>
      </c>
      <c r="E1761" s="66">
        <v>1500</v>
      </c>
      <c r="F1761" s="65">
        <f ca="1">INDIRECT(ADDRESS(ROW(),COLUMN()-2,4))*INDIRECT(ADDRESS(ROW(),COLUMN()-1,4))</f>
        <v>150000</v>
      </c>
      <c r="G1761" s="5"/>
      <c r="H1761" s="5"/>
      <c r="I1761" s="5"/>
      <c r="J1761" s="5"/>
    </row>
    <row r="1762" spans="1:10" ht="13.5" customHeight="1" x14ac:dyDescent="0.2">
      <c r="A1762" s="78">
        <v>53102516</v>
      </c>
      <c r="B1762" s="64" t="str">
        <f ca="1">IFERROR(INDEX(UNSPSCDes,MATCH(INDIRECT(ADDRESS(ROW(),COLUMN()-1,4)),UNSPSCCode,0)),"")</f>
        <v>Gorras</v>
      </c>
      <c r="C1762" s="63" t="s">
        <v>1449</v>
      </c>
      <c r="D1762" s="63">
        <v>100</v>
      </c>
      <c r="E1762" s="66">
        <v>1000</v>
      </c>
      <c r="F1762" s="65">
        <f ca="1">INDIRECT(ADDRESS(ROW(),COLUMN()-2,4))*INDIRECT(ADDRESS(ROW(),COLUMN()-1,4))</f>
        <v>100000</v>
      </c>
      <c r="G1762" s="5"/>
      <c r="H1762" s="5"/>
      <c r="I1762" s="5"/>
      <c r="J1762" s="5"/>
    </row>
    <row r="1763" spans="1:10" ht="14.1" customHeight="1" x14ac:dyDescent="0.2">
      <c r="A1763" s="5"/>
      <c r="B1763" s="5"/>
      <c r="C1763" s="5"/>
      <c r="D1763" s="5"/>
      <c r="E1763" s="68" t="s">
        <v>12550</v>
      </c>
      <c r="F1763" s="69">
        <f ca="1">SUM(Table3111[MONTO TOTAL ESTIMADO])</f>
        <v>250000</v>
      </c>
      <c r="G1763" s="5"/>
      <c r="H1763" s="5" t="str">
        <f>C1754</f>
        <v>Bienes</v>
      </c>
      <c r="I1763" s="5" t="str">
        <f>E1754</f>
        <v>Sí</v>
      </c>
      <c r="J1763" s="5" t="str">
        <f>D1754</f>
        <v>Compras Menores</v>
      </c>
    </row>
    <row r="1764" spans="1:10" ht="14.1" customHeight="1" thickBot="1" x14ac:dyDescent="0.3"/>
    <row r="1765" spans="1:10" ht="33.75" customHeight="1" thickBot="1" x14ac:dyDescent="0.25">
      <c r="A1765" s="59" t="s">
        <v>16382</v>
      </c>
      <c r="B1765" s="59" t="s">
        <v>161</v>
      </c>
      <c r="C1765" s="59" t="s">
        <v>11724</v>
      </c>
      <c r="D1765" s="59" t="s">
        <v>14378</v>
      </c>
      <c r="E1765" s="59" t="s">
        <v>10962</v>
      </c>
      <c r="F1765" s="59" t="s">
        <v>11095</v>
      </c>
      <c r="G1765" s="5"/>
      <c r="H1765" s="5"/>
      <c r="I1765" s="5"/>
      <c r="J1765" s="5"/>
    </row>
    <row r="1766" spans="1:10" ht="13.5" customHeight="1" thickBot="1" x14ac:dyDescent="0.25">
      <c r="A1766" s="77" t="s">
        <v>18890</v>
      </c>
      <c r="B1766" s="77" t="s">
        <v>18891</v>
      </c>
      <c r="C1766" s="61" t="s">
        <v>17797</v>
      </c>
      <c r="D1766" s="61" t="s">
        <v>17482</v>
      </c>
      <c r="E1766" s="61" t="s">
        <v>8854</v>
      </c>
      <c r="F1766" s="61"/>
      <c r="G1766" s="5"/>
      <c r="H1766" s="5"/>
      <c r="I1766" s="5"/>
      <c r="J1766" s="5"/>
    </row>
    <row r="1767" spans="1:10" ht="14.1" customHeight="1" thickBot="1" x14ac:dyDescent="0.25">
      <c r="A1767" s="82" t="s">
        <v>14828</v>
      </c>
      <c r="B1767" s="62" t="s">
        <v>8528</v>
      </c>
      <c r="C1767" s="71">
        <v>44013</v>
      </c>
      <c r="D1767" s="82" t="s">
        <v>9385</v>
      </c>
      <c r="E1767" s="62" t="s">
        <v>13093</v>
      </c>
      <c r="F1767" s="61" t="s">
        <v>3080</v>
      </c>
      <c r="G1767" s="5"/>
      <c r="H1767" s="5"/>
      <c r="I1767" s="5"/>
      <c r="J1767" s="5"/>
    </row>
    <row r="1768" spans="1:10" ht="14.1" customHeight="1" thickBot="1" x14ac:dyDescent="0.25">
      <c r="A1768" s="83"/>
      <c r="B1768" s="62" t="s">
        <v>1786</v>
      </c>
      <c r="C1768" s="60">
        <f>IF(C1767="","",IF(AND(MONTH(C1767)&gt;=1,MONTH(C1767)&lt;=3),1,IF(AND(MONTH(C1767)&gt;=4,MONTH(C1767)&lt;=6),2,IF(AND(MONTH(C1767)&gt;=7,MONTH(C1767)&lt;=9),3,4))))</f>
        <v>3</v>
      </c>
      <c r="D1768" s="83"/>
      <c r="E1768" s="62" t="s">
        <v>2417</v>
      </c>
      <c r="F1768" s="61" t="s">
        <v>11112</v>
      </c>
      <c r="G1768" s="5"/>
      <c r="H1768" s="5"/>
      <c r="I1768" s="5"/>
      <c r="J1768" s="5"/>
    </row>
    <row r="1769" spans="1:10" ht="14.1" customHeight="1" thickBot="1" x14ac:dyDescent="0.25">
      <c r="A1769" s="83"/>
      <c r="B1769" s="62" t="s">
        <v>12942</v>
      </c>
      <c r="C1769" s="71">
        <v>44104</v>
      </c>
      <c r="D1769" s="83"/>
      <c r="E1769" s="62" t="s">
        <v>3073</v>
      </c>
      <c r="F1769" s="61" t="s">
        <v>11112</v>
      </c>
      <c r="G1769" s="5"/>
      <c r="H1769" s="5"/>
      <c r="I1769" s="5"/>
      <c r="J1769" s="5"/>
    </row>
    <row r="1770" spans="1:10" ht="14.1" customHeight="1" thickBot="1" x14ac:dyDescent="0.25">
      <c r="A1770" s="83"/>
      <c r="B1770" s="62" t="s">
        <v>1786</v>
      </c>
      <c r="C1770" s="60">
        <f>IF(C1769="","",IF(AND(MONTH(C1769)&gt;=1,MONTH(C1769)&lt;=3),1,IF(AND(MONTH(C1769)&gt;=4,MONTH(C1769)&lt;=6),2,IF(AND(MONTH(C1769)&gt;=7,MONTH(C1769)&lt;=9),3,4))))</f>
        <v>3</v>
      </c>
      <c r="D1770" s="83"/>
      <c r="E1770" s="62" t="s">
        <v>13192</v>
      </c>
      <c r="F1770" s="61" t="s">
        <v>11112</v>
      </c>
      <c r="G1770" s="5"/>
      <c r="H1770" s="5"/>
      <c r="I1770" s="5"/>
      <c r="J1770" s="5"/>
    </row>
    <row r="1771" spans="1:10" ht="14.1" customHeight="1" thickBot="1" x14ac:dyDescent="0.25">
      <c r="A1771" s="5"/>
      <c r="B1771" s="5"/>
      <c r="C1771" s="5"/>
      <c r="D1771" s="5"/>
      <c r="E1771" s="5"/>
      <c r="F1771" s="5"/>
      <c r="G1771" s="5"/>
      <c r="H1771" s="5"/>
      <c r="I1771" s="5"/>
      <c r="J1771" s="5"/>
    </row>
    <row r="1772" spans="1:10" ht="14.1" customHeight="1" thickBot="1" x14ac:dyDescent="0.25">
      <c r="A1772" s="67" t="s">
        <v>15735</v>
      </c>
      <c r="B1772" s="67" t="s">
        <v>16146</v>
      </c>
      <c r="C1772" s="67" t="s">
        <v>15641</v>
      </c>
      <c r="D1772" s="67" t="s">
        <v>15251</v>
      </c>
      <c r="E1772" s="67" t="s">
        <v>6932</v>
      </c>
      <c r="F1772" s="67" t="s">
        <v>15280</v>
      </c>
      <c r="G1772" s="5"/>
      <c r="H1772" s="5"/>
      <c r="I1772" s="5"/>
      <c r="J1772" s="5"/>
    </row>
    <row r="1773" spans="1:10" ht="13.5" customHeight="1" x14ac:dyDescent="0.2">
      <c r="A1773" s="78">
        <v>53103001</v>
      </c>
      <c r="B1773" s="64" t="str">
        <f ca="1">IFERROR(INDEX(UNSPSCDes,MATCH(INDIRECT(ADDRESS(ROW(),COLUMN()-1,4)),UNSPSCCode,0)),"")</f>
        <v>Camisetas (t-shirts) para hombre</v>
      </c>
      <c r="C1773" s="63" t="s">
        <v>1449</v>
      </c>
      <c r="D1773" s="63">
        <v>100</v>
      </c>
      <c r="E1773" s="66">
        <v>1500</v>
      </c>
      <c r="F1773" s="65">
        <f ca="1">INDIRECT(ADDRESS(ROW(),COLUMN()-2,4))*INDIRECT(ADDRESS(ROW(),COLUMN()-1,4))</f>
        <v>150000</v>
      </c>
      <c r="G1773" s="5"/>
      <c r="H1773" s="5"/>
      <c r="I1773" s="5"/>
      <c r="J1773" s="5"/>
    </row>
    <row r="1774" spans="1:10" ht="13.5" customHeight="1" x14ac:dyDescent="0.2">
      <c r="A1774" s="78">
        <v>53102516</v>
      </c>
      <c r="B1774" s="64" t="str">
        <f ca="1">IFERROR(INDEX(UNSPSCDes,MATCH(INDIRECT(ADDRESS(ROW(),COLUMN()-1,4)),UNSPSCCode,0)),"")</f>
        <v>Gorras</v>
      </c>
      <c r="C1774" s="63" t="s">
        <v>1449</v>
      </c>
      <c r="D1774" s="63">
        <v>100</v>
      </c>
      <c r="E1774" s="66">
        <v>1000</v>
      </c>
      <c r="F1774" s="65">
        <f ca="1">INDIRECT(ADDRESS(ROW(),COLUMN()-2,4))*INDIRECT(ADDRESS(ROW(),COLUMN()-1,4))</f>
        <v>100000</v>
      </c>
      <c r="G1774" s="5"/>
      <c r="H1774" s="5"/>
      <c r="I1774" s="5"/>
      <c r="J1774" s="5"/>
    </row>
    <row r="1775" spans="1:10" ht="14.1" customHeight="1" x14ac:dyDescent="0.2">
      <c r="A1775" s="5"/>
      <c r="B1775" s="5"/>
      <c r="C1775" s="5"/>
      <c r="D1775" s="5"/>
      <c r="E1775" s="68" t="s">
        <v>12550</v>
      </c>
      <c r="F1775" s="69">
        <f ca="1">SUM(Table3112[MONTO TOTAL ESTIMADO])</f>
        <v>250000</v>
      </c>
      <c r="G1775" s="5"/>
      <c r="H1775" s="5" t="str">
        <f>C1766</f>
        <v>Bienes</v>
      </c>
      <c r="I1775" s="5" t="str">
        <f>E1766</f>
        <v>Sí</v>
      </c>
      <c r="J1775" s="5" t="str">
        <f>D1766</f>
        <v>Compras Menores</v>
      </c>
    </row>
    <row r="1776" spans="1:10" ht="14.1" customHeight="1" thickBot="1" x14ac:dyDescent="0.3"/>
    <row r="1777" spans="1:10" ht="33.75" customHeight="1" thickBot="1" x14ac:dyDescent="0.25">
      <c r="A1777" s="59" t="s">
        <v>16382</v>
      </c>
      <c r="B1777" s="59" t="s">
        <v>161</v>
      </c>
      <c r="C1777" s="59" t="s">
        <v>11724</v>
      </c>
      <c r="D1777" s="59" t="s">
        <v>14378</v>
      </c>
      <c r="E1777" s="59" t="s">
        <v>10962</v>
      </c>
      <c r="F1777" s="59" t="s">
        <v>11095</v>
      </c>
      <c r="G1777" s="5"/>
      <c r="H1777" s="5"/>
      <c r="I1777" s="5"/>
      <c r="J1777" s="5"/>
    </row>
    <row r="1778" spans="1:10" ht="13.5" customHeight="1" thickBot="1" x14ac:dyDescent="0.25">
      <c r="A1778" s="77" t="s">
        <v>18890</v>
      </c>
      <c r="B1778" s="77" t="s">
        <v>18891</v>
      </c>
      <c r="C1778" s="61" t="s">
        <v>17797</v>
      </c>
      <c r="D1778" s="61" t="s">
        <v>17482</v>
      </c>
      <c r="E1778" s="61" t="s">
        <v>8854</v>
      </c>
      <c r="F1778" s="61"/>
      <c r="G1778" s="5"/>
      <c r="H1778" s="5"/>
      <c r="I1778" s="5"/>
      <c r="J1778" s="5"/>
    </row>
    <row r="1779" spans="1:10" ht="14.1" customHeight="1" thickBot="1" x14ac:dyDescent="0.25">
      <c r="A1779" s="82" t="s">
        <v>14828</v>
      </c>
      <c r="B1779" s="62" t="s">
        <v>8528</v>
      </c>
      <c r="C1779" s="71">
        <v>44105</v>
      </c>
      <c r="D1779" s="82" t="s">
        <v>9385</v>
      </c>
      <c r="E1779" s="62" t="s">
        <v>13093</v>
      </c>
      <c r="F1779" s="61" t="s">
        <v>3080</v>
      </c>
      <c r="G1779" s="5"/>
      <c r="H1779" s="5"/>
      <c r="I1779" s="5"/>
      <c r="J1779" s="5"/>
    </row>
    <row r="1780" spans="1:10" ht="14.1" customHeight="1" thickBot="1" x14ac:dyDescent="0.25">
      <c r="A1780" s="83"/>
      <c r="B1780" s="62" t="s">
        <v>1786</v>
      </c>
      <c r="C1780" s="60">
        <f>IF(C1779="","",IF(AND(MONTH(C1779)&gt;=1,MONTH(C1779)&lt;=3),1,IF(AND(MONTH(C1779)&gt;=4,MONTH(C1779)&lt;=6),2,IF(AND(MONTH(C1779)&gt;=7,MONTH(C1779)&lt;=9),3,4))))</f>
        <v>4</v>
      </c>
      <c r="D1780" s="83"/>
      <c r="E1780" s="62" t="s">
        <v>2417</v>
      </c>
      <c r="F1780" s="61" t="s">
        <v>11112</v>
      </c>
      <c r="G1780" s="5"/>
      <c r="H1780" s="5"/>
      <c r="I1780" s="5"/>
      <c r="J1780" s="5"/>
    </row>
    <row r="1781" spans="1:10" ht="14.1" customHeight="1" thickBot="1" x14ac:dyDescent="0.25">
      <c r="A1781" s="83"/>
      <c r="B1781" s="62" t="s">
        <v>12942</v>
      </c>
      <c r="C1781" s="71">
        <v>44196</v>
      </c>
      <c r="D1781" s="83"/>
      <c r="E1781" s="62" t="s">
        <v>3073</v>
      </c>
      <c r="F1781" s="61" t="s">
        <v>11112</v>
      </c>
      <c r="G1781" s="5"/>
      <c r="H1781" s="5"/>
      <c r="I1781" s="5"/>
      <c r="J1781" s="5"/>
    </row>
    <row r="1782" spans="1:10" ht="14.1" customHeight="1" thickBot="1" x14ac:dyDescent="0.25">
      <c r="A1782" s="83"/>
      <c r="B1782" s="62" t="s">
        <v>1786</v>
      </c>
      <c r="C1782" s="60">
        <f>IF(C1781="","",IF(AND(MONTH(C1781)&gt;=1,MONTH(C1781)&lt;=3),1,IF(AND(MONTH(C1781)&gt;=4,MONTH(C1781)&lt;=6),2,IF(AND(MONTH(C1781)&gt;=7,MONTH(C1781)&lt;=9),3,4))))</f>
        <v>4</v>
      </c>
      <c r="D1782" s="83"/>
      <c r="E1782" s="62" t="s">
        <v>13192</v>
      </c>
      <c r="F1782" s="61" t="s">
        <v>11112</v>
      </c>
      <c r="G1782" s="5"/>
      <c r="H1782" s="5"/>
      <c r="I1782" s="5"/>
      <c r="J1782" s="5"/>
    </row>
    <row r="1783" spans="1:10" ht="14.1" customHeight="1" thickBot="1" x14ac:dyDescent="0.25">
      <c r="A1783" s="5"/>
      <c r="B1783" s="5"/>
      <c r="C1783" s="5"/>
      <c r="D1783" s="5"/>
      <c r="E1783" s="5"/>
      <c r="F1783" s="5"/>
      <c r="G1783" s="5"/>
      <c r="H1783" s="5"/>
      <c r="I1783" s="5"/>
      <c r="J1783" s="5"/>
    </row>
    <row r="1784" spans="1:10" ht="14.1" customHeight="1" thickBot="1" x14ac:dyDescent="0.25">
      <c r="A1784" s="67" t="s">
        <v>15735</v>
      </c>
      <c r="B1784" s="67" t="s">
        <v>16146</v>
      </c>
      <c r="C1784" s="67" t="s">
        <v>15641</v>
      </c>
      <c r="D1784" s="67" t="s">
        <v>15251</v>
      </c>
      <c r="E1784" s="67" t="s">
        <v>6932</v>
      </c>
      <c r="F1784" s="67" t="s">
        <v>15280</v>
      </c>
      <c r="G1784" s="5"/>
      <c r="H1784" s="5"/>
      <c r="I1784" s="5"/>
      <c r="J1784" s="5"/>
    </row>
    <row r="1785" spans="1:10" ht="13.5" customHeight="1" x14ac:dyDescent="0.2">
      <c r="A1785" s="78">
        <v>53103001</v>
      </c>
      <c r="B1785" s="64" t="str">
        <f ca="1">IFERROR(INDEX(UNSPSCDes,MATCH(INDIRECT(ADDRESS(ROW(),COLUMN()-1,4)),UNSPSCCode,0)),"")</f>
        <v>Camisetas (t-shirts) para hombre</v>
      </c>
      <c r="C1785" s="63" t="s">
        <v>1449</v>
      </c>
      <c r="D1785" s="63">
        <v>100</v>
      </c>
      <c r="E1785" s="66">
        <v>1500</v>
      </c>
      <c r="F1785" s="65">
        <f ca="1">INDIRECT(ADDRESS(ROW(),COLUMN()-2,4))*INDIRECT(ADDRESS(ROW(),COLUMN()-1,4))</f>
        <v>150000</v>
      </c>
      <c r="G1785" s="5"/>
      <c r="H1785" s="5"/>
      <c r="I1785" s="5"/>
      <c r="J1785" s="5"/>
    </row>
    <row r="1786" spans="1:10" ht="13.5" customHeight="1" x14ac:dyDescent="0.2">
      <c r="A1786" s="78">
        <v>53102516</v>
      </c>
      <c r="B1786" s="64" t="str">
        <f ca="1">IFERROR(INDEX(UNSPSCDes,MATCH(INDIRECT(ADDRESS(ROW(),COLUMN()-1,4)),UNSPSCCode,0)),"")</f>
        <v>Gorras</v>
      </c>
      <c r="C1786" s="63" t="s">
        <v>1449</v>
      </c>
      <c r="D1786" s="63">
        <v>100</v>
      </c>
      <c r="E1786" s="66">
        <v>1000</v>
      </c>
      <c r="F1786" s="65">
        <f ca="1">INDIRECT(ADDRESS(ROW(),COLUMN()-2,4))*INDIRECT(ADDRESS(ROW(),COLUMN()-1,4))</f>
        <v>100000</v>
      </c>
      <c r="G1786" s="5"/>
      <c r="H1786" s="5"/>
      <c r="I1786" s="5"/>
      <c r="J1786" s="5"/>
    </row>
    <row r="1787" spans="1:10" ht="14.1" customHeight="1" x14ac:dyDescent="0.2">
      <c r="A1787" s="5"/>
      <c r="B1787" s="5"/>
      <c r="C1787" s="5"/>
      <c r="D1787" s="5"/>
      <c r="E1787" s="68" t="s">
        <v>12550</v>
      </c>
      <c r="F1787" s="69">
        <f ca="1">SUM(Table3113[MONTO TOTAL ESTIMADO])</f>
        <v>250000</v>
      </c>
      <c r="G1787" s="5"/>
      <c r="H1787" s="5" t="str">
        <f>C1778</f>
        <v>Bienes</v>
      </c>
      <c r="I1787" s="5" t="str">
        <f>E1778</f>
        <v>Sí</v>
      </c>
      <c r="J1787" s="5" t="str">
        <f>D1778</f>
        <v>Compras Menores</v>
      </c>
    </row>
    <row r="1788" spans="1:10" ht="14.1" customHeight="1" thickBot="1" x14ac:dyDescent="0.3"/>
    <row r="1789" spans="1:10" ht="33.75" customHeight="1" thickBot="1" x14ac:dyDescent="0.25">
      <c r="A1789" s="59" t="s">
        <v>16382</v>
      </c>
      <c r="B1789" s="59" t="s">
        <v>161</v>
      </c>
      <c r="C1789" s="59" t="s">
        <v>11724</v>
      </c>
      <c r="D1789" s="59" t="s">
        <v>14378</v>
      </c>
      <c r="E1789" s="59" t="s">
        <v>10962</v>
      </c>
      <c r="F1789" s="59" t="s">
        <v>11095</v>
      </c>
      <c r="G1789" s="5"/>
      <c r="H1789" s="5"/>
      <c r="I1789" s="5"/>
      <c r="J1789" s="5"/>
    </row>
    <row r="1790" spans="1:10" ht="13.5" customHeight="1" thickBot="1" x14ac:dyDescent="0.25">
      <c r="A1790" s="77" t="s">
        <v>18892</v>
      </c>
      <c r="B1790" s="77" t="s">
        <v>18892</v>
      </c>
      <c r="C1790" s="61" t="s">
        <v>17797</v>
      </c>
      <c r="D1790" s="61" t="s">
        <v>17482</v>
      </c>
      <c r="E1790" s="61" t="s">
        <v>17853</v>
      </c>
      <c r="F1790" s="61"/>
      <c r="G1790" s="5"/>
      <c r="H1790" s="5"/>
      <c r="I1790" s="5"/>
      <c r="J1790" s="5"/>
    </row>
    <row r="1791" spans="1:10" ht="14.1" customHeight="1" thickBot="1" x14ac:dyDescent="0.25">
      <c r="A1791" s="82" t="s">
        <v>14828</v>
      </c>
      <c r="B1791" s="62" t="s">
        <v>8528</v>
      </c>
      <c r="C1791" s="71">
        <v>43831</v>
      </c>
      <c r="D1791" s="82" t="s">
        <v>9385</v>
      </c>
      <c r="E1791" s="62" t="s">
        <v>13093</v>
      </c>
      <c r="F1791" s="61" t="s">
        <v>3080</v>
      </c>
      <c r="G1791" s="5"/>
      <c r="H1791" s="5"/>
      <c r="I1791" s="5"/>
      <c r="J1791" s="5"/>
    </row>
    <row r="1792" spans="1:10" ht="14.1" customHeight="1" thickBot="1" x14ac:dyDescent="0.25">
      <c r="A1792" s="83"/>
      <c r="B1792" s="62" t="s">
        <v>1786</v>
      </c>
      <c r="C1792" s="60">
        <f>IF(C1791="","",IF(AND(MONTH(C1791)&gt;=1,MONTH(C1791)&lt;=3),1,IF(AND(MONTH(C1791)&gt;=4,MONTH(C1791)&lt;=6),2,IF(AND(MONTH(C1791)&gt;=7,MONTH(C1791)&lt;=9),3,4))))</f>
        <v>1</v>
      </c>
      <c r="D1792" s="83"/>
      <c r="E1792" s="62" t="s">
        <v>2417</v>
      </c>
      <c r="F1792" s="61" t="s">
        <v>11112</v>
      </c>
      <c r="G1792" s="5"/>
      <c r="H1792" s="5"/>
      <c r="I1792" s="5"/>
      <c r="J1792" s="5"/>
    </row>
    <row r="1793" spans="1:10" ht="14.1" customHeight="1" thickBot="1" x14ac:dyDescent="0.25">
      <c r="A1793" s="83"/>
      <c r="B1793" s="62" t="s">
        <v>12942</v>
      </c>
      <c r="C1793" s="71">
        <v>43921</v>
      </c>
      <c r="D1793" s="83"/>
      <c r="E1793" s="62" t="s">
        <v>3073</v>
      </c>
      <c r="F1793" s="61" t="s">
        <v>11112</v>
      </c>
      <c r="G1793" s="5"/>
      <c r="H1793" s="5"/>
      <c r="I1793" s="5"/>
      <c r="J1793" s="5"/>
    </row>
    <row r="1794" spans="1:10" ht="14.1" customHeight="1" thickBot="1" x14ac:dyDescent="0.25">
      <c r="A1794" s="83"/>
      <c r="B1794" s="62" t="s">
        <v>1786</v>
      </c>
      <c r="C1794" s="60">
        <f>IF(C1793="","",IF(AND(MONTH(C1793)&gt;=1,MONTH(C1793)&lt;=3),1,IF(AND(MONTH(C1793)&gt;=4,MONTH(C1793)&lt;=6),2,IF(AND(MONTH(C1793)&gt;=7,MONTH(C1793)&lt;=9),3,4))))</f>
        <v>1</v>
      </c>
      <c r="D1794" s="83"/>
      <c r="E1794" s="62" t="s">
        <v>13192</v>
      </c>
      <c r="F1794" s="61" t="s">
        <v>11112</v>
      </c>
      <c r="G1794" s="5"/>
      <c r="H1794" s="5"/>
      <c r="I1794" s="5"/>
      <c r="J1794" s="5"/>
    </row>
    <row r="1795" spans="1:10" ht="14.1" customHeight="1" thickBot="1" x14ac:dyDescent="0.25">
      <c r="A1795" s="5"/>
      <c r="B1795" s="5"/>
      <c r="C1795" s="5"/>
      <c r="D1795" s="5"/>
      <c r="E1795" s="5"/>
      <c r="F1795" s="5"/>
      <c r="G1795" s="5"/>
      <c r="H1795" s="5"/>
      <c r="I1795" s="5"/>
      <c r="J1795" s="5"/>
    </row>
    <row r="1796" spans="1:10" ht="14.1" customHeight="1" thickBot="1" x14ac:dyDescent="0.25">
      <c r="A1796" s="67" t="s">
        <v>15735</v>
      </c>
      <c r="B1796" s="67" t="s">
        <v>16146</v>
      </c>
      <c r="C1796" s="67" t="s">
        <v>15641</v>
      </c>
      <c r="D1796" s="67" t="s">
        <v>15251</v>
      </c>
      <c r="E1796" s="67" t="s">
        <v>6932</v>
      </c>
      <c r="F1796" s="67" t="s">
        <v>15280</v>
      </c>
      <c r="G1796" s="5"/>
      <c r="H1796" s="5"/>
      <c r="I1796" s="5"/>
      <c r="J1796" s="5"/>
    </row>
    <row r="1797" spans="1:10" ht="13.5" customHeight="1" x14ac:dyDescent="0.2">
      <c r="A1797" s="78">
        <v>53111602</v>
      </c>
      <c r="B1797" s="64" t="str">
        <f ca="1">IFERROR(INDEX(UNSPSCDes,MATCH(INDIRECT(ADDRESS(ROW(),COLUMN()-1,4)),UNSPSCCode,0)),"")</f>
        <v>Zapatos para mujer</v>
      </c>
      <c r="C1797" s="63" t="s">
        <v>1449</v>
      </c>
      <c r="D1797" s="63">
        <v>55</v>
      </c>
      <c r="E1797" s="66">
        <v>2500</v>
      </c>
      <c r="F1797" s="65">
        <f ca="1">INDIRECT(ADDRESS(ROW(),COLUMN()-2,4))*INDIRECT(ADDRESS(ROW(),COLUMN()-1,4))</f>
        <v>137500</v>
      </c>
      <c r="G1797" s="5"/>
      <c r="H1797" s="5"/>
      <c r="I1797" s="5"/>
      <c r="J1797" s="5"/>
    </row>
    <row r="1798" spans="1:10" ht="13.5" customHeight="1" x14ac:dyDescent="0.2">
      <c r="A1798" s="78">
        <v>53111601</v>
      </c>
      <c r="B1798" s="64" t="str">
        <f ca="1">IFERROR(INDEX(UNSPSCDes,MATCH(INDIRECT(ADDRESS(ROW(),COLUMN()-1,4)),UNSPSCCode,0)),"")</f>
        <v>Zapatos para hombre</v>
      </c>
      <c r="C1798" s="63" t="s">
        <v>1449</v>
      </c>
      <c r="D1798" s="63">
        <v>55</v>
      </c>
      <c r="E1798" s="66">
        <v>2500</v>
      </c>
      <c r="F1798" s="65">
        <f ca="1">INDIRECT(ADDRESS(ROW(),COLUMN()-2,4))*INDIRECT(ADDRESS(ROW(),COLUMN()-1,4))</f>
        <v>137500</v>
      </c>
      <c r="G1798" s="5"/>
      <c r="H1798" s="5"/>
      <c r="I1798" s="5"/>
      <c r="J1798" s="5"/>
    </row>
    <row r="1799" spans="1:10" ht="14.1" customHeight="1" x14ac:dyDescent="0.2">
      <c r="A1799" s="5"/>
      <c r="B1799" s="5"/>
      <c r="C1799" s="5"/>
      <c r="D1799" s="5"/>
      <c r="E1799" s="68" t="s">
        <v>12550</v>
      </c>
      <c r="F1799" s="69">
        <f ca="1">SUM(Table3114[MONTO TOTAL ESTIMADO])</f>
        <v>275000</v>
      </c>
      <c r="G1799" s="5"/>
      <c r="H1799" s="5" t="str">
        <f>C1790</f>
        <v>Bienes</v>
      </c>
      <c r="I1799" s="5" t="str">
        <f>E1790</f>
        <v>No</v>
      </c>
      <c r="J1799" s="5" t="str">
        <f>D1790</f>
        <v>Compras Menores</v>
      </c>
    </row>
    <row r="1800" spans="1:10" ht="14.1" customHeight="1" thickBot="1" x14ac:dyDescent="0.3"/>
    <row r="1801" spans="1:10" ht="33.75" customHeight="1" thickBot="1" x14ac:dyDescent="0.25">
      <c r="A1801" s="59" t="s">
        <v>16382</v>
      </c>
      <c r="B1801" s="59" t="s">
        <v>161</v>
      </c>
      <c r="C1801" s="59" t="s">
        <v>11724</v>
      </c>
      <c r="D1801" s="59" t="s">
        <v>14378</v>
      </c>
      <c r="E1801" s="59" t="s">
        <v>10962</v>
      </c>
      <c r="F1801" s="59" t="s">
        <v>11095</v>
      </c>
      <c r="G1801" s="5"/>
      <c r="H1801" s="5"/>
      <c r="I1801" s="5"/>
      <c r="J1801" s="5"/>
    </row>
    <row r="1802" spans="1:10" ht="13.5" customHeight="1" thickBot="1" x14ac:dyDescent="0.25">
      <c r="A1802" s="77" t="s">
        <v>18892</v>
      </c>
      <c r="B1802" s="77" t="s">
        <v>18892</v>
      </c>
      <c r="C1802" s="61" t="s">
        <v>17797</v>
      </c>
      <c r="D1802" s="61" t="s">
        <v>17482</v>
      </c>
      <c r="E1802" s="61" t="s">
        <v>17853</v>
      </c>
      <c r="F1802" s="61"/>
      <c r="G1802" s="5"/>
      <c r="H1802" s="5"/>
      <c r="I1802" s="5"/>
      <c r="J1802" s="5"/>
    </row>
    <row r="1803" spans="1:10" ht="14.1" customHeight="1" thickBot="1" x14ac:dyDescent="0.25">
      <c r="A1803" s="82" t="s">
        <v>14828</v>
      </c>
      <c r="B1803" s="62" t="s">
        <v>8528</v>
      </c>
      <c r="C1803" s="71">
        <v>43922</v>
      </c>
      <c r="D1803" s="82" t="s">
        <v>9385</v>
      </c>
      <c r="E1803" s="62" t="s">
        <v>13093</v>
      </c>
      <c r="F1803" s="61" t="s">
        <v>3080</v>
      </c>
      <c r="G1803" s="5"/>
      <c r="H1803" s="5"/>
      <c r="I1803" s="5"/>
      <c r="J1803" s="5"/>
    </row>
    <row r="1804" spans="1:10" ht="14.1" customHeight="1" thickBot="1" x14ac:dyDescent="0.25">
      <c r="A1804" s="83"/>
      <c r="B1804" s="62" t="s">
        <v>1786</v>
      </c>
      <c r="C1804" s="60">
        <f>IF(C1803="","",IF(AND(MONTH(C1803)&gt;=1,MONTH(C1803)&lt;=3),1,IF(AND(MONTH(C1803)&gt;=4,MONTH(C1803)&lt;=6),2,IF(AND(MONTH(C1803)&gt;=7,MONTH(C1803)&lt;=9),3,4))))</f>
        <v>2</v>
      </c>
      <c r="D1804" s="83"/>
      <c r="E1804" s="62" t="s">
        <v>2417</v>
      </c>
      <c r="F1804" s="61" t="s">
        <v>11112</v>
      </c>
      <c r="G1804" s="5"/>
      <c r="H1804" s="5"/>
      <c r="I1804" s="5"/>
      <c r="J1804" s="5"/>
    </row>
    <row r="1805" spans="1:10" ht="14.1" customHeight="1" thickBot="1" x14ac:dyDescent="0.25">
      <c r="A1805" s="83"/>
      <c r="B1805" s="62" t="s">
        <v>12942</v>
      </c>
      <c r="C1805" s="71">
        <v>44012</v>
      </c>
      <c r="D1805" s="83"/>
      <c r="E1805" s="62" t="s">
        <v>3073</v>
      </c>
      <c r="F1805" s="61" t="s">
        <v>11112</v>
      </c>
      <c r="G1805" s="5"/>
      <c r="H1805" s="5"/>
      <c r="I1805" s="5"/>
      <c r="J1805" s="5"/>
    </row>
    <row r="1806" spans="1:10" ht="14.1" customHeight="1" thickBot="1" x14ac:dyDescent="0.25">
      <c r="A1806" s="83"/>
      <c r="B1806" s="62" t="s">
        <v>1786</v>
      </c>
      <c r="C1806" s="60">
        <f>IF(C1805="","",IF(AND(MONTH(C1805)&gt;=1,MONTH(C1805)&lt;=3),1,IF(AND(MONTH(C1805)&gt;=4,MONTH(C1805)&lt;=6),2,IF(AND(MONTH(C1805)&gt;=7,MONTH(C1805)&lt;=9),3,4))))</f>
        <v>2</v>
      </c>
      <c r="D1806" s="83"/>
      <c r="E1806" s="62" t="s">
        <v>13192</v>
      </c>
      <c r="F1806" s="61" t="s">
        <v>11112</v>
      </c>
      <c r="G1806" s="5"/>
      <c r="H1806" s="5"/>
      <c r="I1806" s="5"/>
      <c r="J1806" s="5"/>
    </row>
    <row r="1807" spans="1:10" ht="14.1" customHeight="1" thickBot="1" x14ac:dyDescent="0.25">
      <c r="A1807" s="5"/>
      <c r="B1807" s="5"/>
      <c r="C1807" s="5"/>
      <c r="D1807" s="5"/>
      <c r="E1807" s="5"/>
      <c r="F1807" s="5"/>
      <c r="G1807" s="5"/>
      <c r="H1807" s="5"/>
      <c r="I1807" s="5"/>
      <c r="J1807" s="5"/>
    </row>
    <row r="1808" spans="1:10" ht="14.1" customHeight="1" thickBot="1" x14ac:dyDescent="0.25">
      <c r="A1808" s="67" t="s">
        <v>15735</v>
      </c>
      <c r="B1808" s="67" t="s">
        <v>16146</v>
      </c>
      <c r="C1808" s="67" t="s">
        <v>15641</v>
      </c>
      <c r="D1808" s="67" t="s">
        <v>15251</v>
      </c>
      <c r="E1808" s="67" t="s">
        <v>6932</v>
      </c>
      <c r="F1808" s="67" t="s">
        <v>15280</v>
      </c>
      <c r="G1808" s="5"/>
      <c r="H1808" s="5"/>
      <c r="I1808" s="5"/>
      <c r="J1808" s="5"/>
    </row>
    <row r="1809" spans="1:10" ht="13.5" customHeight="1" x14ac:dyDescent="0.2">
      <c r="A1809" s="78">
        <v>53111602</v>
      </c>
      <c r="B1809" s="64" t="str">
        <f ca="1">IFERROR(INDEX(UNSPSCDes,MATCH(INDIRECT(ADDRESS(ROW(),COLUMN()-1,4)),UNSPSCCode,0)),"")</f>
        <v>Zapatos para mujer</v>
      </c>
      <c r="C1809" s="63" t="s">
        <v>1449</v>
      </c>
      <c r="D1809" s="63">
        <v>55</v>
      </c>
      <c r="E1809" s="66">
        <v>2500</v>
      </c>
      <c r="F1809" s="65">
        <f ca="1">INDIRECT(ADDRESS(ROW(),COLUMN()-2,4))*INDIRECT(ADDRESS(ROW(),COLUMN()-1,4))</f>
        <v>137500</v>
      </c>
      <c r="G1809" s="5"/>
      <c r="H1809" s="5"/>
      <c r="I1809" s="5"/>
      <c r="J1809" s="5"/>
    </row>
    <row r="1810" spans="1:10" ht="13.5" customHeight="1" x14ac:dyDescent="0.2">
      <c r="A1810" s="78">
        <v>53111601</v>
      </c>
      <c r="B1810" s="64" t="str">
        <f ca="1">IFERROR(INDEX(UNSPSCDes,MATCH(INDIRECT(ADDRESS(ROW(),COLUMN()-1,4)),UNSPSCCode,0)),"")</f>
        <v>Zapatos para hombre</v>
      </c>
      <c r="C1810" s="63" t="s">
        <v>1449</v>
      </c>
      <c r="D1810" s="63">
        <v>55</v>
      </c>
      <c r="E1810" s="66">
        <v>2500</v>
      </c>
      <c r="F1810" s="65">
        <f ca="1">INDIRECT(ADDRESS(ROW(),COLUMN()-2,4))*INDIRECT(ADDRESS(ROW(),COLUMN()-1,4))</f>
        <v>137500</v>
      </c>
      <c r="G1810" s="5"/>
      <c r="H1810" s="5"/>
      <c r="I1810" s="5"/>
      <c r="J1810" s="5"/>
    </row>
    <row r="1811" spans="1:10" ht="14.1" customHeight="1" x14ac:dyDescent="0.2">
      <c r="A1811" s="5"/>
      <c r="B1811" s="5"/>
      <c r="C1811" s="5"/>
      <c r="D1811" s="5"/>
      <c r="E1811" s="68" t="s">
        <v>12550</v>
      </c>
      <c r="F1811" s="69">
        <f ca="1">SUM(Table3115[MONTO TOTAL ESTIMADO])</f>
        <v>275000</v>
      </c>
      <c r="G1811" s="5"/>
      <c r="H1811" s="5" t="str">
        <f>C1802</f>
        <v>Bienes</v>
      </c>
      <c r="I1811" s="5" t="str">
        <f>E1802</f>
        <v>No</v>
      </c>
      <c r="J1811" s="5" t="str">
        <f>D1802</f>
        <v>Compras Menores</v>
      </c>
    </row>
    <row r="1812" spans="1:10" ht="14.1" customHeight="1" thickBot="1" x14ac:dyDescent="0.3"/>
    <row r="1813" spans="1:10" ht="33.75" customHeight="1" thickBot="1" x14ac:dyDescent="0.25">
      <c r="A1813" s="59" t="s">
        <v>16382</v>
      </c>
      <c r="B1813" s="59" t="s">
        <v>161</v>
      </c>
      <c r="C1813" s="59" t="s">
        <v>11724</v>
      </c>
      <c r="D1813" s="59" t="s">
        <v>14378</v>
      </c>
      <c r="E1813" s="59" t="s">
        <v>10962</v>
      </c>
      <c r="F1813" s="59" t="s">
        <v>11095</v>
      </c>
      <c r="G1813" s="5"/>
      <c r="H1813" s="5"/>
      <c r="I1813" s="5"/>
      <c r="J1813" s="5"/>
    </row>
    <row r="1814" spans="1:10" ht="13.5" customHeight="1" thickBot="1" x14ac:dyDescent="0.25">
      <c r="A1814" s="77" t="s">
        <v>18892</v>
      </c>
      <c r="B1814" s="77" t="s">
        <v>18892</v>
      </c>
      <c r="C1814" s="61" t="s">
        <v>17797</v>
      </c>
      <c r="D1814" s="61" t="s">
        <v>17482</v>
      </c>
      <c r="E1814" s="61" t="s">
        <v>17853</v>
      </c>
      <c r="F1814" s="61"/>
      <c r="G1814" s="5"/>
      <c r="H1814" s="5"/>
      <c r="I1814" s="5"/>
      <c r="J1814" s="5"/>
    </row>
    <row r="1815" spans="1:10" ht="14.1" customHeight="1" thickBot="1" x14ac:dyDescent="0.25">
      <c r="A1815" s="82" t="s">
        <v>14828</v>
      </c>
      <c r="B1815" s="62" t="s">
        <v>8528</v>
      </c>
      <c r="C1815" s="71">
        <v>44013</v>
      </c>
      <c r="D1815" s="82" t="s">
        <v>9385</v>
      </c>
      <c r="E1815" s="62" t="s">
        <v>13093</v>
      </c>
      <c r="F1815" s="61" t="s">
        <v>3080</v>
      </c>
      <c r="G1815" s="5"/>
      <c r="H1815" s="5"/>
      <c r="I1815" s="5"/>
      <c r="J1815" s="5"/>
    </row>
    <row r="1816" spans="1:10" ht="14.1" customHeight="1" thickBot="1" x14ac:dyDescent="0.25">
      <c r="A1816" s="83"/>
      <c r="B1816" s="62" t="s">
        <v>1786</v>
      </c>
      <c r="C1816" s="60">
        <f>IF(C1815="","",IF(AND(MONTH(C1815)&gt;=1,MONTH(C1815)&lt;=3),1,IF(AND(MONTH(C1815)&gt;=4,MONTH(C1815)&lt;=6),2,IF(AND(MONTH(C1815)&gt;=7,MONTH(C1815)&lt;=9),3,4))))</f>
        <v>3</v>
      </c>
      <c r="D1816" s="83"/>
      <c r="E1816" s="62" t="s">
        <v>2417</v>
      </c>
      <c r="F1816" s="61" t="s">
        <v>11112</v>
      </c>
      <c r="G1816" s="5"/>
      <c r="H1816" s="5"/>
      <c r="I1816" s="5"/>
      <c r="J1816" s="5"/>
    </row>
    <row r="1817" spans="1:10" ht="14.1" customHeight="1" thickBot="1" x14ac:dyDescent="0.25">
      <c r="A1817" s="83"/>
      <c r="B1817" s="62" t="s">
        <v>12942</v>
      </c>
      <c r="C1817" s="71">
        <v>44104</v>
      </c>
      <c r="D1817" s="83"/>
      <c r="E1817" s="62" t="s">
        <v>3073</v>
      </c>
      <c r="F1817" s="61" t="s">
        <v>11112</v>
      </c>
      <c r="G1817" s="5"/>
      <c r="H1817" s="5"/>
      <c r="I1817" s="5"/>
      <c r="J1817" s="5"/>
    </row>
    <row r="1818" spans="1:10" ht="14.1" customHeight="1" thickBot="1" x14ac:dyDescent="0.25">
      <c r="A1818" s="83"/>
      <c r="B1818" s="62" t="s">
        <v>1786</v>
      </c>
      <c r="C1818" s="60">
        <f>IF(C1817="","",IF(AND(MONTH(C1817)&gt;=1,MONTH(C1817)&lt;=3),1,IF(AND(MONTH(C1817)&gt;=4,MONTH(C1817)&lt;=6),2,IF(AND(MONTH(C1817)&gt;=7,MONTH(C1817)&lt;=9),3,4))))</f>
        <v>3</v>
      </c>
      <c r="D1818" s="83"/>
      <c r="E1818" s="62" t="s">
        <v>13192</v>
      </c>
      <c r="F1818" s="61" t="s">
        <v>11112</v>
      </c>
      <c r="G1818" s="5"/>
      <c r="H1818" s="5"/>
      <c r="I1818" s="5"/>
      <c r="J1818" s="5"/>
    </row>
    <row r="1819" spans="1:10" ht="14.1" customHeight="1" thickBot="1" x14ac:dyDescent="0.25">
      <c r="A1819" s="5"/>
      <c r="B1819" s="5"/>
      <c r="C1819" s="5"/>
      <c r="D1819" s="5"/>
      <c r="E1819" s="5"/>
      <c r="F1819" s="5"/>
      <c r="G1819" s="5"/>
      <c r="H1819" s="5"/>
      <c r="I1819" s="5"/>
      <c r="J1819" s="5"/>
    </row>
    <row r="1820" spans="1:10" ht="14.1" customHeight="1" thickBot="1" x14ac:dyDescent="0.25">
      <c r="A1820" s="67" t="s">
        <v>15735</v>
      </c>
      <c r="B1820" s="67" t="s">
        <v>16146</v>
      </c>
      <c r="C1820" s="67" t="s">
        <v>15641</v>
      </c>
      <c r="D1820" s="67" t="s">
        <v>15251</v>
      </c>
      <c r="E1820" s="67" t="s">
        <v>6932</v>
      </c>
      <c r="F1820" s="67" t="s">
        <v>15280</v>
      </c>
      <c r="G1820" s="5"/>
      <c r="H1820" s="5"/>
      <c r="I1820" s="5"/>
      <c r="J1820" s="5"/>
    </row>
    <row r="1821" spans="1:10" ht="13.5" customHeight="1" x14ac:dyDescent="0.2">
      <c r="A1821" s="78">
        <v>53111602</v>
      </c>
      <c r="B1821" s="64" t="str">
        <f ca="1">IFERROR(INDEX(UNSPSCDes,MATCH(INDIRECT(ADDRESS(ROW(),COLUMN()-1,4)),UNSPSCCode,0)),"")</f>
        <v>Zapatos para mujer</v>
      </c>
      <c r="C1821" s="63" t="s">
        <v>1449</v>
      </c>
      <c r="D1821" s="63">
        <v>55</v>
      </c>
      <c r="E1821" s="66">
        <v>2500</v>
      </c>
      <c r="F1821" s="65">
        <f ca="1">INDIRECT(ADDRESS(ROW(),COLUMN()-2,4))*INDIRECT(ADDRESS(ROW(),COLUMN()-1,4))</f>
        <v>137500</v>
      </c>
      <c r="G1821" s="5"/>
      <c r="H1821" s="5"/>
      <c r="I1821" s="5"/>
      <c r="J1821" s="5"/>
    </row>
    <row r="1822" spans="1:10" ht="13.5" customHeight="1" x14ac:dyDescent="0.2">
      <c r="A1822" s="78">
        <v>53111601</v>
      </c>
      <c r="B1822" s="64" t="str">
        <f ca="1">IFERROR(INDEX(UNSPSCDes,MATCH(INDIRECT(ADDRESS(ROW(),COLUMN()-1,4)),UNSPSCCode,0)),"")</f>
        <v>Zapatos para hombre</v>
      </c>
      <c r="C1822" s="63" t="s">
        <v>1449</v>
      </c>
      <c r="D1822" s="63">
        <v>55</v>
      </c>
      <c r="E1822" s="66">
        <v>2500</v>
      </c>
      <c r="F1822" s="65">
        <f ca="1">INDIRECT(ADDRESS(ROW(),COLUMN()-2,4))*INDIRECT(ADDRESS(ROW(),COLUMN()-1,4))</f>
        <v>137500</v>
      </c>
      <c r="G1822" s="5"/>
      <c r="H1822" s="5"/>
      <c r="I1822" s="5"/>
      <c r="J1822" s="5"/>
    </row>
    <row r="1823" spans="1:10" ht="14.1" customHeight="1" x14ac:dyDescent="0.2">
      <c r="A1823" s="5"/>
      <c r="B1823" s="5"/>
      <c r="C1823" s="5"/>
      <c r="D1823" s="5"/>
      <c r="E1823" s="68" t="s">
        <v>12550</v>
      </c>
      <c r="F1823" s="69">
        <f ca="1">SUM(Table3116[MONTO TOTAL ESTIMADO])</f>
        <v>275000</v>
      </c>
      <c r="G1823" s="5"/>
      <c r="H1823" s="5" t="str">
        <f>C1814</f>
        <v>Bienes</v>
      </c>
      <c r="I1823" s="5" t="str">
        <f>E1814</f>
        <v>No</v>
      </c>
      <c r="J1823" s="5" t="str">
        <f>D1814</f>
        <v>Compras Menores</v>
      </c>
    </row>
    <row r="1824" spans="1:10" ht="14.1" customHeight="1" thickBot="1" x14ac:dyDescent="0.3"/>
    <row r="1825" spans="1:10" ht="33.75" customHeight="1" thickBot="1" x14ac:dyDescent="0.25">
      <c r="A1825" s="59" t="s">
        <v>16382</v>
      </c>
      <c r="B1825" s="59" t="s">
        <v>161</v>
      </c>
      <c r="C1825" s="59" t="s">
        <v>11724</v>
      </c>
      <c r="D1825" s="59" t="s">
        <v>14378</v>
      </c>
      <c r="E1825" s="59" t="s">
        <v>10962</v>
      </c>
      <c r="F1825" s="59" t="s">
        <v>11095</v>
      </c>
      <c r="G1825" s="5"/>
      <c r="H1825" s="5"/>
      <c r="I1825" s="5"/>
      <c r="J1825" s="5"/>
    </row>
    <row r="1826" spans="1:10" ht="13.5" customHeight="1" thickBot="1" x14ac:dyDescent="0.25">
      <c r="A1826" s="77" t="s">
        <v>18892</v>
      </c>
      <c r="B1826" s="77" t="s">
        <v>18892</v>
      </c>
      <c r="C1826" s="61" t="s">
        <v>17797</v>
      </c>
      <c r="D1826" s="61" t="s">
        <v>17482</v>
      </c>
      <c r="E1826" s="61" t="s">
        <v>17853</v>
      </c>
      <c r="F1826" s="61"/>
      <c r="G1826" s="5"/>
      <c r="H1826" s="5"/>
      <c r="I1826" s="5"/>
      <c r="J1826" s="5"/>
    </row>
    <row r="1827" spans="1:10" ht="14.1" customHeight="1" thickBot="1" x14ac:dyDescent="0.25">
      <c r="A1827" s="82" t="s">
        <v>14828</v>
      </c>
      <c r="B1827" s="62" t="s">
        <v>8528</v>
      </c>
      <c r="C1827" s="71">
        <v>44105</v>
      </c>
      <c r="D1827" s="82" t="s">
        <v>9385</v>
      </c>
      <c r="E1827" s="62" t="s">
        <v>13093</v>
      </c>
      <c r="F1827" s="61" t="s">
        <v>3080</v>
      </c>
      <c r="G1827" s="5"/>
      <c r="H1827" s="5"/>
      <c r="I1827" s="5"/>
      <c r="J1827" s="5"/>
    </row>
    <row r="1828" spans="1:10" ht="14.1" customHeight="1" thickBot="1" x14ac:dyDescent="0.25">
      <c r="A1828" s="83"/>
      <c r="B1828" s="62" t="s">
        <v>1786</v>
      </c>
      <c r="C1828" s="60">
        <f>IF(C1827="","",IF(AND(MONTH(C1827)&gt;=1,MONTH(C1827)&lt;=3),1,IF(AND(MONTH(C1827)&gt;=4,MONTH(C1827)&lt;=6),2,IF(AND(MONTH(C1827)&gt;=7,MONTH(C1827)&lt;=9),3,4))))</f>
        <v>4</v>
      </c>
      <c r="D1828" s="83"/>
      <c r="E1828" s="62" t="s">
        <v>2417</v>
      </c>
      <c r="F1828" s="61" t="s">
        <v>11112</v>
      </c>
      <c r="G1828" s="5"/>
      <c r="H1828" s="5"/>
      <c r="I1828" s="5"/>
      <c r="J1828" s="5"/>
    </row>
    <row r="1829" spans="1:10" ht="14.1" customHeight="1" thickBot="1" x14ac:dyDescent="0.25">
      <c r="A1829" s="83"/>
      <c r="B1829" s="62" t="s">
        <v>12942</v>
      </c>
      <c r="C1829" s="71">
        <v>44196</v>
      </c>
      <c r="D1829" s="83"/>
      <c r="E1829" s="62" t="s">
        <v>3073</v>
      </c>
      <c r="F1829" s="61" t="s">
        <v>11112</v>
      </c>
      <c r="G1829" s="5"/>
      <c r="H1829" s="5"/>
      <c r="I1829" s="5"/>
      <c r="J1829" s="5"/>
    </row>
    <row r="1830" spans="1:10" ht="14.1" customHeight="1" thickBot="1" x14ac:dyDescent="0.25">
      <c r="A1830" s="83"/>
      <c r="B1830" s="62" t="s">
        <v>1786</v>
      </c>
      <c r="C1830" s="60">
        <f>IF(C1829="","",IF(AND(MONTH(C1829)&gt;=1,MONTH(C1829)&lt;=3),1,IF(AND(MONTH(C1829)&gt;=4,MONTH(C1829)&lt;=6),2,IF(AND(MONTH(C1829)&gt;=7,MONTH(C1829)&lt;=9),3,4))))</f>
        <v>4</v>
      </c>
      <c r="D1830" s="83"/>
      <c r="E1830" s="62" t="s">
        <v>13192</v>
      </c>
      <c r="F1830" s="61" t="s">
        <v>11112</v>
      </c>
      <c r="G1830" s="5"/>
      <c r="H1830" s="5"/>
      <c r="I1830" s="5"/>
      <c r="J1830" s="5"/>
    </row>
    <row r="1831" spans="1:10" ht="14.1" customHeight="1" thickBot="1" x14ac:dyDescent="0.25">
      <c r="A1831" s="5"/>
      <c r="B1831" s="5"/>
      <c r="C1831" s="5"/>
      <c r="D1831" s="5"/>
      <c r="E1831" s="5"/>
      <c r="F1831" s="5"/>
      <c r="G1831" s="5"/>
      <c r="H1831" s="5"/>
      <c r="I1831" s="5"/>
      <c r="J1831" s="5"/>
    </row>
    <row r="1832" spans="1:10" ht="14.1" customHeight="1" thickBot="1" x14ac:dyDescent="0.25">
      <c r="A1832" s="67" t="s">
        <v>15735</v>
      </c>
      <c r="B1832" s="67" t="s">
        <v>16146</v>
      </c>
      <c r="C1832" s="67" t="s">
        <v>15641</v>
      </c>
      <c r="D1832" s="67" t="s">
        <v>15251</v>
      </c>
      <c r="E1832" s="67" t="s">
        <v>6932</v>
      </c>
      <c r="F1832" s="67" t="s">
        <v>15280</v>
      </c>
      <c r="G1832" s="5"/>
      <c r="H1832" s="5"/>
      <c r="I1832" s="5"/>
      <c r="J1832" s="5"/>
    </row>
    <row r="1833" spans="1:10" ht="13.5" customHeight="1" x14ac:dyDescent="0.2">
      <c r="A1833" s="78">
        <v>53111602</v>
      </c>
      <c r="B1833" s="64" t="str">
        <f ca="1">IFERROR(INDEX(UNSPSCDes,MATCH(INDIRECT(ADDRESS(ROW(),COLUMN()-1,4)),UNSPSCCode,0)),"")</f>
        <v>Zapatos para mujer</v>
      </c>
      <c r="C1833" s="63" t="s">
        <v>1449</v>
      </c>
      <c r="D1833" s="63">
        <v>55</v>
      </c>
      <c r="E1833" s="66">
        <v>2500</v>
      </c>
      <c r="F1833" s="65">
        <f ca="1">INDIRECT(ADDRESS(ROW(),COLUMN()-2,4))*INDIRECT(ADDRESS(ROW(),COLUMN()-1,4))</f>
        <v>137500</v>
      </c>
      <c r="G1833" s="5"/>
      <c r="H1833" s="5"/>
      <c r="I1833" s="5"/>
      <c r="J1833" s="5"/>
    </row>
    <row r="1834" spans="1:10" ht="13.5" customHeight="1" x14ac:dyDescent="0.2">
      <c r="A1834" s="78">
        <v>53111601</v>
      </c>
      <c r="B1834" s="64" t="str">
        <f ca="1">IFERROR(INDEX(UNSPSCDes,MATCH(INDIRECT(ADDRESS(ROW(),COLUMN()-1,4)),UNSPSCCode,0)),"")</f>
        <v>Zapatos para hombre</v>
      </c>
      <c r="C1834" s="63" t="s">
        <v>1449</v>
      </c>
      <c r="D1834" s="63">
        <v>55</v>
      </c>
      <c r="E1834" s="66">
        <v>2500</v>
      </c>
      <c r="F1834" s="65">
        <f ca="1">INDIRECT(ADDRESS(ROW(),COLUMN()-2,4))*INDIRECT(ADDRESS(ROW(),COLUMN()-1,4))</f>
        <v>137500</v>
      </c>
      <c r="G1834" s="5"/>
      <c r="H1834" s="5"/>
      <c r="I1834" s="5"/>
      <c r="J1834" s="5"/>
    </row>
    <row r="1835" spans="1:10" ht="14.1" customHeight="1" x14ac:dyDescent="0.2">
      <c r="A1835" s="5"/>
      <c r="B1835" s="5"/>
      <c r="C1835" s="5"/>
      <c r="D1835" s="5"/>
      <c r="E1835" s="68" t="s">
        <v>12550</v>
      </c>
      <c r="F1835" s="69">
        <f ca="1">SUM(Table3117[MONTO TOTAL ESTIMADO])</f>
        <v>275000</v>
      </c>
      <c r="G1835" s="5"/>
      <c r="H1835" s="5" t="str">
        <f>C1826</f>
        <v>Bienes</v>
      </c>
      <c r="I1835" s="5" t="str">
        <f>E1826</f>
        <v>No</v>
      </c>
      <c r="J1835" s="5" t="str">
        <f>D1826</f>
        <v>Compras Menores</v>
      </c>
    </row>
    <row r="1836" spans="1:10" ht="14.1" customHeight="1" thickBot="1" x14ac:dyDescent="0.3"/>
    <row r="1837" spans="1:10" ht="33.75" customHeight="1" thickBot="1" x14ac:dyDescent="0.25">
      <c r="A1837" s="59" t="s">
        <v>16382</v>
      </c>
      <c r="B1837" s="59" t="s">
        <v>161</v>
      </c>
      <c r="C1837" s="59" t="s">
        <v>11724</v>
      </c>
      <c r="D1837" s="59" t="s">
        <v>14378</v>
      </c>
      <c r="E1837" s="59" t="s">
        <v>10962</v>
      </c>
      <c r="F1837" s="59" t="s">
        <v>11095</v>
      </c>
      <c r="G1837" s="5"/>
      <c r="H1837" s="5"/>
      <c r="I1837" s="5"/>
      <c r="J1837" s="5"/>
    </row>
    <row r="1838" spans="1:10" ht="13.5" customHeight="1" thickBot="1" x14ac:dyDescent="0.25">
      <c r="A1838" s="77" t="s">
        <v>18893</v>
      </c>
      <c r="B1838" s="77" t="s">
        <v>18895</v>
      </c>
      <c r="C1838" s="61" t="s">
        <v>17797</v>
      </c>
      <c r="D1838" s="61" t="s">
        <v>10171</v>
      </c>
      <c r="E1838" s="61" t="s">
        <v>8854</v>
      </c>
      <c r="F1838" s="61"/>
      <c r="G1838" s="5"/>
      <c r="H1838" s="5"/>
      <c r="I1838" s="5"/>
      <c r="J1838" s="5"/>
    </row>
    <row r="1839" spans="1:10" ht="14.1" customHeight="1" thickBot="1" x14ac:dyDescent="0.25">
      <c r="A1839" s="82" t="s">
        <v>14828</v>
      </c>
      <c r="B1839" s="62" t="s">
        <v>8528</v>
      </c>
      <c r="C1839" s="71">
        <v>43831</v>
      </c>
      <c r="D1839" s="82" t="s">
        <v>9385</v>
      </c>
      <c r="E1839" s="62" t="s">
        <v>13093</v>
      </c>
      <c r="F1839" s="61" t="s">
        <v>3080</v>
      </c>
      <c r="G1839" s="5"/>
      <c r="H1839" s="5"/>
      <c r="I1839" s="5"/>
      <c r="J1839" s="5"/>
    </row>
    <row r="1840" spans="1:10" ht="14.1" customHeight="1" thickBot="1" x14ac:dyDescent="0.25">
      <c r="A1840" s="83"/>
      <c r="B1840" s="62" t="s">
        <v>1786</v>
      </c>
      <c r="C1840" s="60">
        <f>IF(C1839="","",IF(AND(MONTH(C1839)&gt;=1,MONTH(C1839)&lt;=3),1,IF(AND(MONTH(C1839)&gt;=4,MONTH(C1839)&lt;=6),2,IF(AND(MONTH(C1839)&gt;=7,MONTH(C1839)&lt;=9),3,4))))</f>
        <v>1</v>
      </c>
      <c r="D1840" s="83"/>
      <c r="E1840" s="62" t="s">
        <v>2417</v>
      </c>
      <c r="F1840" s="61" t="s">
        <v>11112</v>
      </c>
      <c r="G1840" s="5"/>
      <c r="H1840" s="5"/>
      <c r="I1840" s="5"/>
      <c r="J1840" s="5"/>
    </row>
    <row r="1841" spans="1:10" ht="14.1" customHeight="1" thickBot="1" x14ac:dyDescent="0.25">
      <c r="A1841" s="83"/>
      <c r="B1841" s="62" t="s">
        <v>12942</v>
      </c>
      <c r="C1841" s="71">
        <v>43921</v>
      </c>
      <c r="D1841" s="83"/>
      <c r="E1841" s="62" t="s">
        <v>3073</v>
      </c>
      <c r="F1841" s="61" t="s">
        <v>11112</v>
      </c>
      <c r="G1841" s="5"/>
      <c r="H1841" s="5"/>
      <c r="I1841" s="5"/>
      <c r="J1841" s="5"/>
    </row>
    <row r="1842" spans="1:10" ht="14.1" customHeight="1" thickBot="1" x14ac:dyDescent="0.25">
      <c r="A1842" s="83"/>
      <c r="B1842" s="62" t="s">
        <v>1786</v>
      </c>
      <c r="C1842" s="60">
        <f>IF(C1841="","",IF(AND(MONTH(C1841)&gt;=1,MONTH(C1841)&lt;=3),1,IF(AND(MONTH(C1841)&gt;=4,MONTH(C1841)&lt;=6),2,IF(AND(MONTH(C1841)&gt;=7,MONTH(C1841)&lt;=9),3,4))))</f>
        <v>1</v>
      </c>
      <c r="D1842" s="83"/>
      <c r="E1842" s="62" t="s">
        <v>13192</v>
      </c>
      <c r="F1842" s="61" t="s">
        <v>11112</v>
      </c>
      <c r="G1842" s="5"/>
      <c r="H1842" s="5"/>
      <c r="I1842" s="5"/>
      <c r="J1842" s="5"/>
    </row>
    <row r="1843" spans="1:10" ht="14.1" customHeight="1" thickBot="1" x14ac:dyDescent="0.25">
      <c r="A1843" s="5"/>
      <c r="B1843" s="5"/>
      <c r="C1843" s="5"/>
      <c r="D1843" s="5"/>
      <c r="E1843" s="5"/>
      <c r="F1843" s="5"/>
      <c r="G1843" s="5"/>
      <c r="H1843" s="5"/>
      <c r="I1843" s="5"/>
      <c r="J1843" s="5"/>
    </row>
    <row r="1844" spans="1:10" ht="14.1" customHeight="1" thickBot="1" x14ac:dyDescent="0.25">
      <c r="A1844" s="67" t="s">
        <v>15735</v>
      </c>
      <c r="B1844" s="67" t="s">
        <v>16146</v>
      </c>
      <c r="C1844" s="67" t="s">
        <v>15641</v>
      </c>
      <c r="D1844" s="67" t="s">
        <v>15251</v>
      </c>
      <c r="E1844" s="67" t="s">
        <v>6932</v>
      </c>
      <c r="F1844" s="67" t="s">
        <v>15280</v>
      </c>
      <c r="G1844" s="5"/>
      <c r="H1844" s="5"/>
      <c r="I1844" s="5"/>
      <c r="J1844" s="5"/>
    </row>
    <row r="1845" spans="1:10" ht="13.5" customHeight="1" x14ac:dyDescent="0.2">
      <c r="A1845" s="78">
        <v>50101717</v>
      </c>
      <c r="B1845" s="64" t="str">
        <f t="shared" ref="B1845:B1859" ca="1" si="76">IFERROR(INDEX(UNSPSCDes,MATCH(INDIRECT(ADDRESS(ROW(),COLUMN()-1,4)),UNSPSCCode,0)),"")</f>
        <v>Nueces y semillas sin cascara</v>
      </c>
      <c r="C1845" s="63" t="s">
        <v>4735</v>
      </c>
      <c r="D1845" s="63">
        <v>14</v>
      </c>
      <c r="E1845" s="66">
        <v>1016</v>
      </c>
      <c r="F1845" s="65">
        <f t="shared" ref="F1845:F1859" ca="1" si="77">INDIRECT(ADDRESS(ROW(),COLUMN()-2,4))*INDIRECT(ADDRESS(ROW(),COLUMN()-1,4))</f>
        <v>14224</v>
      </c>
      <c r="G1845" s="5"/>
      <c r="H1845" s="5"/>
      <c r="I1845" s="5"/>
      <c r="J1845" s="5"/>
    </row>
    <row r="1846" spans="1:10" ht="13.5" customHeight="1" x14ac:dyDescent="0.2">
      <c r="A1846" s="78">
        <v>50161814</v>
      </c>
      <c r="B1846" s="64" t="str">
        <f t="shared" ca="1" si="76"/>
        <v>Azúcar o sustituto de azúcar, confite</v>
      </c>
      <c r="C1846" s="63" t="s">
        <v>4735</v>
      </c>
      <c r="D1846" s="63">
        <v>39</v>
      </c>
      <c r="E1846" s="66">
        <v>120</v>
      </c>
      <c r="F1846" s="65">
        <f t="shared" ca="1" si="77"/>
        <v>4680</v>
      </c>
      <c r="G1846" s="5"/>
      <c r="H1846" s="5"/>
      <c r="I1846" s="5"/>
      <c r="J1846" s="5"/>
    </row>
    <row r="1847" spans="1:10" ht="13.5" customHeight="1" x14ac:dyDescent="0.2">
      <c r="A1847" s="78">
        <v>50161510</v>
      </c>
      <c r="B1847" s="64" t="str">
        <f t="shared" ca="1" si="76"/>
        <v>Endulzantes artificiales</v>
      </c>
      <c r="C1847" s="63" t="s">
        <v>16988</v>
      </c>
      <c r="D1847" s="63">
        <v>43</v>
      </c>
      <c r="E1847" s="66">
        <v>530</v>
      </c>
      <c r="F1847" s="65">
        <f t="shared" ca="1" si="77"/>
        <v>22790</v>
      </c>
      <c r="G1847" s="5"/>
      <c r="H1847" s="5"/>
      <c r="I1847" s="5"/>
      <c r="J1847" s="5"/>
    </row>
    <row r="1848" spans="1:10" ht="13.5" customHeight="1" x14ac:dyDescent="0.2">
      <c r="A1848" s="78">
        <v>50181905</v>
      </c>
      <c r="B1848" s="64" t="str">
        <f t="shared" ca="1" si="76"/>
        <v>Galletas de dulce</v>
      </c>
      <c r="C1848" s="63" t="s">
        <v>4735</v>
      </c>
      <c r="D1848" s="63">
        <v>80</v>
      </c>
      <c r="E1848" s="66">
        <v>150</v>
      </c>
      <c r="F1848" s="65">
        <f t="shared" ca="1" si="77"/>
        <v>12000</v>
      </c>
      <c r="G1848" s="5"/>
      <c r="H1848" s="5"/>
      <c r="I1848" s="5"/>
      <c r="J1848" s="5"/>
    </row>
    <row r="1849" spans="1:10" ht="13.5" customHeight="1" x14ac:dyDescent="0.2">
      <c r="A1849" s="78">
        <v>50181903</v>
      </c>
      <c r="B1849" s="64" t="str">
        <f t="shared" ca="1" si="76"/>
        <v>Galletas sencillas de sal</v>
      </c>
      <c r="C1849" s="63" t="s">
        <v>4735</v>
      </c>
      <c r="D1849" s="63">
        <v>59</v>
      </c>
      <c r="E1849" s="66">
        <v>110</v>
      </c>
      <c r="F1849" s="65">
        <f t="shared" ca="1" si="77"/>
        <v>6490</v>
      </c>
      <c r="G1849" s="5"/>
      <c r="H1849" s="5"/>
      <c r="I1849" s="5"/>
      <c r="J1849" s="5"/>
    </row>
    <row r="1850" spans="1:10" ht="13.5" customHeight="1" x14ac:dyDescent="0.2">
      <c r="A1850" s="78">
        <v>50182001</v>
      </c>
      <c r="B1850" s="64" t="str">
        <f t="shared" ca="1" si="76"/>
        <v>Ponqués pasteles o biscochos frescos</v>
      </c>
      <c r="C1850" s="63" t="s">
        <v>1327</v>
      </c>
      <c r="D1850" s="63">
        <v>60</v>
      </c>
      <c r="E1850" s="66">
        <v>150</v>
      </c>
      <c r="F1850" s="65">
        <f t="shared" ca="1" si="77"/>
        <v>9000</v>
      </c>
      <c r="G1850" s="5"/>
      <c r="H1850" s="5"/>
      <c r="I1850" s="5"/>
      <c r="J1850" s="5"/>
    </row>
    <row r="1851" spans="1:10" ht="13.5" customHeight="1" x14ac:dyDescent="0.2">
      <c r="A1851" s="78">
        <v>50202306</v>
      </c>
      <c r="B1851" s="64" t="str">
        <f t="shared" ca="1" si="76"/>
        <v>Refrescos</v>
      </c>
      <c r="C1851" s="63" t="s">
        <v>1449</v>
      </c>
      <c r="D1851" s="63">
        <v>11</v>
      </c>
      <c r="E1851" s="66">
        <v>50</v>
      </c>
      <c r="F1851" s="65">
        <f t="shared" ca="1" si="77"/>
        <v>550</v>
      </c>
      <c r="G1851" s="5"/>
      <c r="H1851" s="5"/>
      <c r="I1851" s="5"/>
      <c r="J1851" s="5"/>
    </row>
    <row r="1852" spans="1:10" ht="13.5" customHeight="1" x14ac:dyDescent="0.2">
      <c r="A1852" s="78">
        <v>50202301</v>
      </c>
      <c r="B1852" s="64" t="str">
        <f t="shared" ca="1" si="76"/>
        <v>Agua</v>
      </c>
      <c r="C1852" s="63" t="s">
        <v>1449</v>
      </c>
      <c r="D1852" s="63">
        <v>38</v>
      </c>
      <c r="E1852" s="66">
        <v>110</v>
      </c>
      <c r="F1852" s="65">
        <f t="shared" ca="1" si="77"/>
        <v>4180</v>
      </c>
      <c r="G1852" s="5"/>
      <c r="H1852" s="5"/>
      <c r="I1852" s="5"/>
      <c r="J1852" s="5"/>
    </row>
    <row r="1853" spans="1:10" ht="13.5" customHeight="1" x14ac:dyDescent="0.2">
      <c r="A1853" s="78">
        <v>50201713</v>
      </c>
      <c r="B1853" s="64" t="str">
        <f t="shared" ca="1" si="76"/>
        <v>Bolsas de té</v>
      </c>
      <c r="C1853" s="63" t="s">
        <v>16988</v>
      </c>
      <c r="D1853" s="63">
        <v>15</v>
      </c>
      <c r="E1853" s="66">
        <v>150</v>
      </c>
      <c r="F1853" s="65">
        <f t="shared" ca="1" si="77"/>
        <v>2250</v>
      </c>
      <c r="G1853" s="5"/>
      <c r="H1853" s="5"/>
      <c r="I1853" s="5"/>
      <c r="J1853" s="5"/>
    </row>
    <row r="1854" spans="1:10" ht="13.5" customHeight="1" x14ac:dyDescent="0.2">
      <c r="A1854" s="78">
        <v>50201711</v>
      </c>
      <c r="B1854" s="64" t="str">
        <f t="shared" ca="1" si="76"/>
        <v>Té instantáneo</v>
      </c>
      <c r="C1854" s="63" t="s">
        <v>1449</v>
      </c>
      <c r="D1854" s="63">
        <v>14</v>
      </c>
      <c r="E1854" s="66">
        <v>500</v>
      </c>
      <c r="F1854" s="65">
        <f t="shared" ca="1" si="77"/>
        <v>7000</v>
      </c>
      <c r="G1854" s="5"/>
      <c r="H1854" s="5"/>
      <c r="I1854" s="5"/>
      <c r="J1854" s="5"/>
    </row>
    <row r="1855" spans="1:10" ht="13.5" customHeight="1" x14ac:dyDescent="0.2">
      <c r="A1855" s="78">
        <v>50201706</v>
      </c>
      <c r="B1855" s="64" t="str">
        <f t="shared" ca="1" si="76"/>
        <v>Café</v>
      </c>
      <c r="C1855" s="63" t="s">
        <v>15636</v>
      </c>
      <c r="D1855" s="63">
        <v>38</v>
      </c>
      <c r="E1855" s="66">
        <v>200</v>
      </c>
      <c r="F1855" s="65">
        <f t="shared" ca="1" si="77"/>
        <v>7600</v>
      </c>
      <c r="G1855" s="5"/>
      <c r="H1855" s="5"/>
      <c r="I1855" s="5"/>
      <c r="J1855" s="5"/>
    </row>
    <row r="1856" spans="1:10" ht="13.5" customHeight="1" x14ac:dyDescent="0.2">
      <c r="A1856" s="78">
        <v>50202305</v>
      </c>
      <c r="B1856" s="64" t="str">
        <f t="shared" ca="1" si="76"/>
        <v>Jugo fresco</v>
      </c>
      <c r="C1856" s="63" t="s">
        <v>9559</v>
      </c>
      <c r="D1856" s="63">
        <v>16</v>
      </c>
      <c r="E1856" s="66">
        <v>200</v>
      </c>
      <c r="F1856" s="65">
        <f t="shared" ca="1" si="77"/>
        <v>3200</v>
      </c>
      <c r="G1856" s="5"/>
      <c r="H1856" s="5"/>
      <c r="I1856" s="5"/>
      <c r="J1856" s="5"/>
    </row>
    <row r="1857" spans="1:10" ht="13.5" customHeight="1" x14ac:dyDescent="0.2">
      <c r="A1857" s="78">
        <v>50201714</v>
      </c>
      <c r="B1857" s="64" t="str">
        <f t="shared" ca="1" si="76"/>
        <v>Cremas no lácteas</v>
      </c>
      <c r="C1857" s="63" t="s">
        <v>1449</v>
      </c>
      <c r="D1857" s="63">
        <v>10</v>
      </c>
      <c r="E1857" s="66">
        <v>210</v>
      </c>
      <c r="F1857" s="65">
        <f t="shared" ca="1" si="77"/>
        <v>2100</v>
      </c>
      <c r="G1857" s="5"/>
      <c r="H1857" s="5"/>
      <c r="I1857" s="5"/>
      <c r="J1857" s="5"/>
    </row>
    <row r="1858" spans="1:10" ht="13.5" customHeight="1" x14ac:dyDescent="0.2">
      <c r="A1858" s="78">
        <v>50101716</v>
      </c>
      <c r="B1858" s="64" t="str">
        <f t="shared" ca="1" si="76"/>
        <v>Nueces y semillas enteras</v>
      </c>
      <c r="C1858" s="63" t="s">
        <v>4735</v>
      </c>
      <c r="D1858" s="63">
        <v>13</v>
      </c>
      <c r="E1858" s="66">
        <v>1000</v>
      </c>
      <c r="F1858" s="65">
        <f t="shared" ca="1" si="77"/>
        <v>13000</v>
      </c>
      <c r="G1858" s="5"/>
      <c r="H1858" s="5"/>
      <c r="I1858" s="5"/>
      <c r="J1858" s="5"/>
    </row>
    <row r="1859" spans="1:10" ht="13.5" customHeight="1" x14ac:dyDescent="0.2">
      <c r="A1859" s="78">
        <v>50202302</v>
      </c>
      <c r="B1859" s="64" t="str">
        <f t="shared" ca="1" si="76"/>
        <v>Hielo</v>
      </c>
      <c r="C1859" s="63" t="s">
        <v>4735</v>
      </c>
      <c r="D1859" s="63">
        <v>10</v>
      </c>
      <c r="E1859" s="66">
        <v>50</v>
      </c>
      <c r="F1859" s="65">
        <f t="shared" ca="1" si="77"/>
        <v>500</v>
      </c>
      <c r="G1859" s="5"/>
      <c r="H1859" s="5"/>
      <c r="I1859" s="5"/>
      <c r="J1859" s="5"/>
    </row>
    <row r="1860" spans="1:10" ht="14.1" customHeight="1" x14ac:dyDescent="0.2">
      <c r="A1860" s="5"/>
      <c r="B1860" s="5"/>
      <c r="C1860" s="5"/>
      <c r="D1860" s="5"/>
      <c r="E1860" s="68" t="s">
        <v>12550</v>
      </c>
      <c r="F1860" s="69">
        <f ca="1">SUM(Table3118[MONTO TOTAL ESTIMADO])</f>
        <v>109564</v>
      </c>
      <c r="G1860" s="5"/>
      <c r="H1860" s="5" t="str">
        <f>C1838</f>
        <v>Bienes</v>
      </c>
      <c r="I1860" s="5" t="str">
        <f>E1838</f>
        <v>Sí</v>
      </c>
      <c r="J1860" s="5" t="str">
        <f>D1838</f>
        <v>Compras por debajo del Umbral</v>
      </c>
    </row>
    <row r="1861" spans="1:10" ht="14.1" customHeight="1" thickBot="1" x14ac:dyDescent="0.3"/>
    <row r="1862" spans="1:10" ht="33.75" customHeight="1" thickBot="1" x14ac:dyDescent="0.25">
      <c r="A1862" s="59" t="s">
        <v>16382</v>
      </c>
      <c r="B1862" s="59" t="s">
        <v>161</v>
      </c>
      <c r="C1862" s="59" t="s">
        <v>11724</v>
      </c>
      <c r="D1862" s="59" t="s">
        <v>14378</v>
      </c>
      <c r="E1862" s="59" t="s">
        <v>10962</v>
      </c>
      <c r="F1862" s="59" t="s">
        <v>11095</v>
      </c>
      <c r="G1862" s="5"/>
      <c r="H1862" s="5"/>
      <c r="I1862" s="5"/>
      <c r="J1862" s="5"/>
    </row>
    <row r="1863" spans="1:10" ht="13.5" customHeight="1" thickBot="1" x14ac:dyDescent="0.25">
      <c r="A1863" s="77" t="s">
        <v>18894</v>
      </c>
      <c r="B1863" s="77" t="s">
        <v>18895</v>
      </c>
      <c r="C1863" s="61" t="s">
        <v>17797</v>
      </c>
      <c r="D1863" s="61" t="s">
        <v>10171</v>
      </c>
      <c r="E1863" s="61" t="s">
        <v>8854</v>
      </c>
      <c r="F1863" s="61"/>
      <c r="G1863" s="5"/>
      <c r="H1863" s="5"/>
      <c r="I1863" s="5"/>
      <c r="J1863" s="5"/>
    </row>
    <row r="1864" spans="1:10" ht="14.1" customHeight="1" thickBot="1" x14ac:dyDescent="0.25">
      <c r="A1864" s="82" t="s">
        <v>14828</v>
      </c>
      <c r="B1864" s="62" t="s">
        <v>8528</v>
      </c>
      <c r="C1864" s="71">
        <v>43922</v>
      </c>
      <c r="D1864" s="82" t="s">
        <v>9385</v>
      </c>
      <c r="E1864" s="62" t="s">
        <v>13093</v>
      </c>
      <c r="F1864" s="61" t="s">
        <v>3080</v>
      </c>
      <c r="G1864" s="5"/>
      <c r="H1864" s="5"/>
      <c r="I1864" s="5"/>
      <c r="J1864" s="5"/>
    </row>
    <row r="1865" spans="1:10" ht="14.1" customHeight="1" thickBot="1" x14ac:dyDescent="0.25">
      <c r="A1865" s="83"/>
      <c r="B1865" s="62" t="s">
        <v>1786</v>
      </c>
      <c r="C1865" s="60">
        <f>IF(C1864="","",IF(AND(MONTH(C1864)&gt;=1,MONTH(C1864)&lt;=3),1,IF(AND(MONTH(C1864)&gt;=4,MONTH(C1864)&lt;=6),2,IF(AND(MONTH(C1864)&gt;=7,MONTH(C1864)&lt;=9),3,4))))</f>
        <v>2</v>
      </c>
      <c r="D1865" s="83"/>
      <c r="E1865" s="62" t="s">
        <v>2417</v>
      </c>
      <c r="F1865" s="61" t="s">
        <v>11112</v>
      </c>
      <c r="G1865" s="5"/>
      <c r="H1865" s="5"/>
      <c r="I1865" s="5"/>
      <c r="J1865" s="5"/>
    </row>
    <row r="1866" spans="1:10" ht="14.1" customHeight="1" thickBot="1" x14ac:dyDescent="0.25">
      <c r="A1866" s="83"/>
      <c r="B1866" s="62" t="s">
        <v>12942</v>
      </c>
      <c r="C1866" s="71">
        <v>44012</v>
      </c>
      <c r="D1866" s="83"/>
      <c r="E1866" s="62" t="s">
        <v>3073</v>
      </c>
      <c r="F1866" s="61" t="s">
        <v>11112</v>
      </c>
      <c r="G1866" s="5"/>
      <c r="H1866" s="5"/>
      <c r="I1866" s="5"/>
      <c r="J1866" s="5"/>
    </row>
    <row r="1867" spans="1:10" ht="14.1" customHeight="1" thickBot="1" x14ac:dyDescent="0.25">
      <c r="A1867" s="83"/>
      <c r="B1867" s="62" t="s">
        <v>1786</v>
      </c>
      <c r="C1867" s="60">
        <f>IF(C1866="","",IF(AND(MONTH(C1866)&gt;=1,MONTH(C1866)&lt;=3),1,IF(AND(MONTH(C1866)&gt;=4,MONTH(C1866)&lt;=6),2,IF(AND(MONTH(C1866)&gt;=7,MONTH(C1866)&lt;=9),3,4))))</f>
        <v>2</v>
      </c>
      <c r="D1867" s="83"/>
      <c r="E1867" s="62" t="s">
        <v>13192</v>
      </c>
      <c r="F1867" s="61" t="s">
        <v>11112</v>
      </c>
      <c r="G1867" s="5"/>
      <c r="H1867" s="5"/>
      <c r="I1867" s="5"/>
      <c r="J1867" s="5"/>
    </row>
    <row r="1868" spans="1:10" ht="14.1" customHeight="1" thickBot="1" x14ac:dyDescent="0.25">
      <c r="A1868" s="5"/>
      <c r="B1868" s="5"/>
      <c r="C1868" s="5"/>
      <c r="D1868" s="5"/>
      <c r="E1868" s="5"/>
      <c r="F1868" s="5"/>
      <c r="G1868" s="5"/>
      <c r="H1868" s="5"/>
      <c r="I1868" s="5"/>
      <c r="J1868" s="5"/>
    </row>
    <row r="1869" spans="1:10" ht="14.1" customHeight="1" thickBot="1" x14ac:dyDescent="0.25">
      <c r="A1869" s="67" t="s">
        <v>15735</v>
      </c>
      <c r="B1869" s="67" t="s">
        <v>16146</v>
      </c>
      <c r="C1869" s="67" t="s">
        <v>15641</v>
      </c>
      <c r="D1869" s="67" t="s">
        <v>15251</v>
      </c>
      <c r="E1869" s="67" t="s">
        <v>6932</v>
      </c>
      <c r="F1869" s="67" t="s">
        <v>15280</v>
      </c>
      <c r="G1869" s="5"/>
      <c r="H1869" s="5"/>
      <c r="I1869" s="5"/>
      <c r="J1869" s="5"/>
    </row>
    <row r="1870" spans="1:10" ht="13.5" customHeight="1" x14ac:dyDescent="0.2">
      <c r="A1870" s="78">
        <v>50101717</v>
      </c>
      <c r="B1870" s="64" t="str">
        <f t="shared" ref="B1870:B1884" ca="1" si="78">IFERROR(INDEX(UNSPSCDes,MATCH(INDIRECT(ADDRESS(ROW(),COLUMN()-1,4)),UNSPSCCode,0)),"")</f>
        <v>Nueces y semillas sin cascara</v>
      </c>
      <c r="C1870" s="63" t="s">
        <v>4735</v>
      </c>
      <c r="D1870" s="63">
        <v>14</v>
      </c>
      <c r="E1870" s="66">
        <v>1016</v>
      </c>
      <c r="F1870" s="65">
        <f t="shared" ref="F1870:F1884" ca="1" si="79">INDIRECT(ADDRESS(ROW(),COLUMN()-2,4))*INDIRECT(ADDRESS(ROW(),COLUMN()-1,4))</f>
        <v>14224</v>
      </c>
      <c r="G1870" s="5"/>
      <c r="H1870" s="5"/>
      <c r="I1870" s="5"/>
      <c r="J1870" s="5"/>
    </row>
    <row r="1871" spans="1:10" ht="13.5" customHeight="1" x14ac:dyDescent="0.2">
      <c r="A1871" s="78">
        <v>50101716</v>
      </c>
      <c r="B1871" s="64" t="str">
        <f t="shared" ca="1" si="78"/>
        <v>Nueces y semillas enteras</v>
      </c>
      <c r="C1871" s="79" t="s">
        <v>4735</v>
      </c>
      <c r="D1871" s="63">
        <v>12</v>
      </c>
      <c r="E1871" s="66">
        <v>1000</v>
      </c>
      <c r="F1871" s="65">
        <f t="shared" ca="1" si="79"/>
        <v>12000</v>
      </c>
      <c r="G1871" s="5"/>
      <c r="H1871" s="5"/>
      <c r="I1871" s="5"/>
      <c r="J1871" s="5"/>
    </row>
    <row r="1872" spans="1:10" ht="13.5" customHeight="1" x14ac:dyDescent="0.2">
      <c r="A1872" s="78">
        <v>50161814</v>
      </c>
      <c r="B1872" s="64" t="str">
        <f t="shared" ca="1" si="78"/>
        <v>Azúcar o sustituto de azúcar, confite</v>
      </c>
      <c r="C1872" s="63" t="s">
        <v>4735</v>
      </c>
      <c r="D1872" s="63">
        <v>39</v>
      </c>
      <c r="E1872" s="66">
        <v>120</v>
      </c>
      <c r="F1872" s="65">
        <f t="shared" ca="1" si="79"/>
        <v>4680</v>
      </c>
      <c r="G1872" s="5"/>
      <c r="H1872" s="5"/>
      <c r="I1872" s="5"/>
      <c r="J1872" s="5"/>
    </row>
    <row r="1873" spans="1:10" ht="13.5" customHeight="1" x14ac:dyDescent="0.2">
      <c r="A1873" s="78">
        <v>50161510</v>
      </c>
      <c r="B1873" s="64" t="str">
        <f t="shared" ca="1" si="78"/>
        <v>Endulzantes artificiales</v>
      </c>
      <c r="C1873" s="63" t="s">
        <v>16988</v>
      </c>
      <c r="D1873" s="63">
        <v>43</v>
      </c>
      <c r="E1873" s="66">
        <v>530</v>
      </c>
      <c r="F1873" s="65">
        <f t="shared" ca="1" si="79"/>
        <v>22790</v>
      </c>
      <c r="G1873" s="5"/>
      <c r="H1873" s="5"/>
      <c r="I1873" s="5"/>
      <c r="J1873" s="5"/>
    </row>
    <row r="1874" spans="1:10" ht="13.5" customHeight="1" x14ac:dyDescent="0.2">
      <c r="A1874" s="78">
        <v>50181905</v>
      </c>
      <c r="B1874" s="64" t="str">
        <f t="shared" ca="1" si="78"/>
        <v>Galletas de dulce</v>
      </c>
      <c r="C1874" s="63" t="s">
        <v>4735</v>
      </c>
      <c r="D1874" s="63">
        <v>80</v>
      </c>
      <c r="E1874" s="66">
        <v>150</v>
      </c>
      <c r="F1874" s="65">
        <f t="shared" ca="1" si="79"/>
        <v>12000</v>
      </c>
      <c r="G1874" s="5"/>
      <c r="H1874" s="5"/>
      <c r="I1874" s="5"/>
      <c r="J1874" s="5"/>
    </row>
    <row r="1875" spans="1:10" ht="13.5" customHeight="1" x14ac:dyDescent="0.2">
      <c r="A1875" s="78">
        <v>50181903</v>
      </c>
      <c r="B1875" s="64" t="str">
        <f t="shared" ca="1" si="78"/>
        <v>Galletas sencillas de sal</v>
      </c>
      <c r="C1875" s="63" t="s">
        <v>4735</v>
      </c>
      <c r="D1875" s="63">
        <v>59</v>
      </c>
      <c r="E1875" s="66">
        <v>110</v>
      </c>
      <c r="F1875" s="65">
        <f t="shared" ca="1" si="79"/>
        <v>6490</v>
      </c>
      <c r="G1875" s="5"/>
      <c r="H1875" s="5"/>
      <c r="I1875" s="5"/>
      <c r="J1875" s="5"/>
    </row>
    <row r="1876" spans="1:10" ht="13.5" customHeight="1" x14ac:dyDescent="0.2">
      <c r="A1876" s="78">
        <v>50182001</v>
      </c>
      <c r="B1876" s="64" t="str">
        <f t="shared" ca="1" si="78"/>
        <v>Ponqués pasteles o biscochos frescos</v>
      </c>
      <c r="C1876" s="63" t="s">
        <v>1327</v>
      </c>
      <c r="D1876" s="63">
        <v>60</v>
      </c>
      <c r="E1876" s="66">
        <v>150</v>
      </c>
      <c r="F1876" s="65">
        <f t="shared" ca="1" si="79"/>
        <v>9000</v>
      </c>
      <c r="G1876" s="5"/>
      <c r="H1876" s="5"/>
      <c r="I1876" s="5"/>
      <c r="J1876" s="5"/>
    </row>
    <row r="1877" spans="1:10" ht="13.5" customHeight="1" x14ac:dyDescent="0.2">
      <c r="A1877" s="78">
        <v>50202306</v>
      </c>
      <c r="B1877" s="64" t="str">
        <f t="shared" ca="1" si="78"/>
        <v>Refrescos</v>
      </c>
      <c r="C1877" s="63" t="s">
        <v>1449</v>
      </c>
      <c r="D1877" s="63">
        <v>11</v>
      </c>
      <c r="E1877" s="66">
        <v>50</v>
      </c>
      <c r="F1877" s="65">
        <f t="shared" ca="1" si="79"/>
        <v>550</v>
      </c>
      <c r="G1877" s="5"/>
      <c r="H1877" s="5"/>
      <c r="I1877" s="5"/>
      <c r="J1877" s="5"/>
    </row>
    <row r="1878" spans="1:10" ht="13.5" customHeight="1" x14ac:dyDescent="0.2">
      <c r="A1878" s="78">
        <v>50202301</v>
      </c>
      <c r="B1878" s="64" t="str">
        <f t="shared" ca="1" si="78"/>
        <v>Agua</v>
      </c>
      <c r="C1878" s="63" t="s">
        <v>1449</v>
      </c>
      <c r="D1878" s="63">
        <v>38</v>
      </c>
      <c r="E1878" s="66">
        <v>110</v>
      </c>
      <c r="F1878" s="65">
        <f t="shared" ca="1" si="79"/>
        <v>4180</v>
      </c>
      <c r="G1878" s="5"/>
      <c r="H1878" s="5"/>
      <c r="I1878" s="5"/>
      <c r="J1878" s="5"/>
    </row>
    <row r="1879" spans="1:10" ht="13.5" customHeight="1" x14ac:dyDescent="0.2">
      <c r="A1879" s="78">
        <v>50201713</v>
      </c>
      <c r="B1879" s="64" t="str">
        <f t="shared" ca="1" si="78"/>
        <v>Bolsas de té</v>
      </c>
      <c r="C1879" s="63" t="s">
        <v>16988</v>
      </c>
      <c r="D1879" s="63">
        <v>15</v>
      </c>
      <c r="E1879" s="66">
        <v>150</v>
      </c>
      <c r="F1879" s="65">
        <f t="shared" ca="1" si="79"/>
        <v>2250</v>
      </c>
      <c r="G1879" s="5"/>
      <c r="H1879" s="5"/>
      <c r="I1879" s="5"/>
      <c r="J1879" s="5"/>
    </row>
    <row r="1880" spans="1:10" ht="13.5" customHeight="1" x14ac:dyDescent="0.2">
      <c r="A1880" s="78">
        <v>50201711</v>
      </c>
      <c r="B1880" s="64" t="str">
        <f t="shared" ca="1" si="78"/>
        <v>Té instantáneo</v>
      </c>
      <c r="C1880" s="63" t="s">
        <v>1449</v>
      </c>
      <c r="D1880" s="63">
        <v>14</v>
      </c>
      <c r="E1880" s="66">
        <v>500</v>
      </c>
      <c r="F1880" s="65">
        <f t="shared" ca="1" si="79"/>
        <v>7000</v>
      </c>
      <c r="G1880" s="5"/>
      <c r="H1880" s="5"/>
      <c r="I1880" s="5"/>
      <c r="J1880" s="5"/>
    </row>
    <row r="1881" spans="1:10" ht="13.5" customHeight="1" x14ac:dyDescent="0.2">
      <c r="A1881" s="78">
        <v>50201706</v>
      </c>
      <c r="B1881" s="64" t="str">
        <f t="shared" ca="1" si="78"/>
        <v>Café</v>
      </c>
      <c r="C1881" s="63" t="s">
        <v>15636</v>
      </c>
      <c r="D1881" s="63">
        <v>38</v>
      </c>
      <c r="E1881" s="66">
        <v>200</v>
      </c>
      <c r="F1881" s="65">
        <f t="shared" ca="1" si="79"/>
        <v>7600</v>
      </c>
      <c r="G1881" s="5"/>
      <c r="H1881" s="5"/>
      <c r="I1881" s="5"/>
      <c r="J1881" s="5"/>
    </row>
    <row r="1882" spans="1:10" ht="13.5" customHeight="1" x14ac:dyDescent="0.2">
      <c r="A1882" s="78">
        <v>50202305</v>
      </c>
      <c r="B1882" s="64" t="str">
        <f t="shared" ca="1" si="78"/>
        <v>Jugo fresco</v>
      </c>
      <c r="C1882" s="63" t="s">
        <v>9559</v>
      </c>
      <c r="D1882" s="63">
        <v>16</v>
      </c>
      <c r="E1882" s="66">
        <v>200</v>
      </c>
      <c r="F1882" s="65">
        <f t="shared" ca="1" si="79"/>
        <v>3200</v>
      </c>
      <c r="G1882" s="5"/>
      <c r="H1882" s="5"/>
      <c r="I1882" s="5"/>
      <c r="J1882" s="5"/>
    </row>
    <row r="1883" spans="1:10" ht="13.5" customHeight="1" x14ac:dyDescent="0.2">
      <c r="A1883" s="78">
        <v>50201714</v>
      </c>
      <c r="B1883" s="64" t="str">
        <f t="shared" ca="1" si="78"/>
        <v>Cremas no lácteas</v>
      </c>
      <c r="C1883" s="63" t="s">
        <v>1449</v>
      </c>
      <c r="D1883" s="63">
        <v>10</v>
      </c>
      <c r="E1883" s="66">
        <v>210</v>
      </c>
      <c r="F1883" s="65">
        <f t="shared" ca="1" si="79"/>
        <v>2100</v>
      </c>
      <c r="G1883" s="5"/>
      <c r="H1883" s="5"/>
      <c r="I1883" s="5"/>
      <c r="J1883" s="5"/>
    </row>
    <row r="1884" spans="1:10" ht="13.5" customHeight="1" x14ac:dyDescent="0.2">
      <c r="A1884" s="78">
        <v>50202302</v>
      </c>
      <c r="B1884" s="64" t="str">
        <f t="shared" ca="1" si="78"/>
        <v>Hielo</v>
      </c>
      <c r="C1884" s="63" t="s">
        <v>4735</v>
      </c>
      <c r="D1884" s="63">
        <v>10</v>
      </c>
      <c r="E1884" s="66">
        <v>50</v>
      </c>
      <c r="F1884" s="65">
        <f t="shared" ca="1" si="79"/>
        <v>500</v>
      </c>
      <c r="G1884" s="5"/>
      <c r="H1884" s="5"/>
      <c r="I1884" s="5"/>
      <c r="J1884" s="5"/>
    </row>
    <row r="1885" spans="1:10" ht="14.1" customHeight="1" x14ac:dyDescent="0.2">
      <c r="A1885" s="5"/>
      <c r="B1885" s="5"/>
      <c r="C1885" s="5"/>
      <c r="D1885" s="5"/>
      <c r="E1885" s="68" t="s">
        <v>12550</v>
      </c>
      <c r="F1885" s="69">
        <f ca="1">SUM(Table3119[MONTO TOTAL ESTIMADO])</f>
        <v>108564</v>
      </c>
      <c r="G1885" s="5"/>
      <c r="H1885" s="5" t="str">
        <f>C1863</f>
        <v>Bienes</v>
      </c>
      <c r="I1885" s="5" t="str">
        <f>E1863</f>
        <v>Sí</v>
      </c>
      <c r="J1885" s="5" t="str">
        <f>D1863</f>
        <v>Compras por debajo del Umbral</v>
      </c>
    </row>
    <row r="1886" spans="1:10" ht="14.1" customHeight="1" thickBot="1" x14ac:dyDescent="0.3"/>
    <row r="1887" spans="1:10" ht="33.75" customHeight="1" thickBot="1" x14ac:dyDescent="0.25">
      <c r="A1887" s="59" t="s">
        <v>16382</v>
      </c>
      <c r="B1887" s="59" t="s">
        <v>161</v>
      </c>
      <c r="C1887" s="59" t="s">
        <v>11724</v>
      </c>
      <c r="D1887" s="59" t="s">
        <v>14378</v>
      </c>
      <c r="E1887" s="59" t="s">
        <v>10962</v>
      </c>
      <c r="F1887" s="59" t="s">
        <v>11095</v>
      </c>
      <c r="G1887" s="5"/>
      <c r="H1887" s="5"/>
      <c r="I1887" s="5"/>
      <c r="J1887" s="5"/>
    </row>
    <row r="1888" spans="1:10" ht="13.5" customHeight="1" thickBot="1" x14ac:dyDescent="0.25">
      <c r="A1888" s="77" t="s">
        <v>18893</v>
      </c>
      <c r="B1888" s="77" t="s">
        <v>18895</v>
      </c>
      <c r="C1888" s="61" t="s">
        <v>17797</v>
      </c>
      <c r="D1888" s="61" t="s">
        <v>10171</v>
      </c>
      <c r="E1888" s="61" t="s">
        <v>8854</v>
      </c>
      <c r="F1888" s="61"/>
      <c r="G1888" s="5"/>
      <c r="H1888" s="5"/>
      <c r="I1888" s="5"/>
      <c r="J1888" s="5"/>
    </row>
    <row r="1889" spans="1:10" ht="14.1" customHeight="1" thickBot="1" x14ac:dyDescent="0.25">
      <c r="A1889" s="82" t="s">
        <v>14828</v>
      </c>
      <c r="B1889" s="62" t="s">
        <v>8528</v>
      </c>
      <c r="C1889" s="71">
        <v>44013</v>
      </c>
      <c r="D1889" s="82" t="s">
        <v>9385</v>
      </c>
      <c r="E1889" s="62" t="s">
        <v>13093</v>
      </c>
      <c r="F1889" s="61" t="s">
        <v>3080</v>
      </c>
      <c r="G1889" s="5"/>
      <c r="H1889" s="5"/>
      <c r="I1889" s="5"/>
      <c r="J1889" s="5"/>
    </row>
    <row r="1890" spans="1:10" ht="14.1" customHeight="1" thickBot="1" x14ac:dyDescent="0.25">
      <c r="A1890" s="83"/>
      <c r="B1890" s="62" t="s">
        <v>1786</v>
      </c>
      <c r="C1890" s="60">
        <f>IF(C1889="","",IF(AND(MONTH(C1889)&gt;=1,MONTH(C1889)&lt;=3),1,IF(AND(MONTH(C1889)&gt;=4,MONTH(C1889)&lt;=6),2,IF(AND(MONTH(C1889)&gt;=7,MONTH(C1889)&lt;=9),3,4))))</f>
        <v>3</v>
      </c>
      <c r="D1890" s="83"/>
      <c r="E1890" s="62" t="s">
        <v>2417</v>
      </c>
      <c r="F1890" s="61" t="s">
        <v>11112</v>
      </c>
      <c r="G1890" s="5"/>
      <c r="H1890" s="5"/>
      <c r="I1890" s="5"/>
      <c r="J1890" s="5"/>
    </row>
    <row r="1891" spans="1:10" ht="14.1" customHeight="1" thickBot="1" x14ac:dyDescent="0.25">
      <c r="A1891" s="83"/>
      <c r="B1891" s="62" t="s">
        <v>12942</v>
      </c>
      <c r="C1891" s="71">
        <v>44104</v>
      </c>
      <c r="D1891" s="83"/>
      <c r="E1891" s="62" t="s">
        <v>3073</v>
      </c>
      <c r="F1891" s="61" t="s">
        <v>11112</v>
      </c>
      <c r="G1891" s="5"/>
      <c r="H1891" s="5"/>
      <c r="I1891" s="5"/>
      <c r="J1891" s="5"/>
    </row>
    <row r="1892" spans="1:10" ht="14.1" customHeight="1" thickBot="1" x14ac:dyDescent="0.25">
      <c r="A1892" s="83"/>
      <c r="B1892" s="62" t="s">
        <v>1786</v>
      </c>
      <c r="C1892" s="60">
        <f>IF(C1891="","",IF(AND(MONTH(C1891)&gt;=1,MONTH(C1891)&lt;=3),1,IF(AND(MONTH(C1891)&gt;=4,MONTH(C1891)&lt;=6),2,IF(AND(MONTH(C1891)&gt;=7,MONTH(C1891)&lt;=9),3,4))))</f>
        <v>3</v>
      </c>
      <c r="D1892" s="83"/>
      <c r="E1892" s="62" t="s">
        <v>13192</v>
      </c>
      <c r="F1892" s="61" t="s">
        <v>11112</v>
      </c>
      <c r="G1892" s="5"/>
      <c r="H1892" s="5"/>
      <c r="I1892" s="5"/>
      <c r="J1892" s="5"/>
    </row>
    <row r="1893" spans="1:10" ht="14.1" customHeight="1" thickBot="1" x14ac:dyDescent="0.25">
      <c r="A1893" s="5"/>
      <c r="B1893" s="5"/>
      <c r="C1893" s="5"/>
      <c r="D1893" s="5"/>
      <c r="E1893" s="5"/>
      <c r="F1893" s="5"/>
      <c r="G1893" s="5"/>
      <c r="H1893" s="5"/>
      <c r="I1893" s="5"/>
      <c r="J1893" s="5"/>
    </row>
    <row r="1894" spans="1:10" ht="14.1" customHeight="1" thickBot="1" x14ac:dyDescent="0.25">
      <c r="A1894" s="67" t="s">
        <v>15735</v>
      </c>
      <c r="B1894" s="67" t="s">
        <v>16146</v>
      </c>
      <c r="C1894" s="67" t="s">
        <v>15641</v>
      </c>
      <c r="D1894" s="67" t="s">
        <v>15251</v>
      </c>
      <c r="E1894" s="67" t="s">
        <v>6932</v>
      </c>
      <c r="F1894" s="67" t="s">
        <v>15280</v>
      </c>
      <c r="G1894" s="5"/>
      <c r="H1894" s="5"/>
      <c r="I1894" s="5"/>
      <c r="J1894" s="5"/>
    </row>
    <row r="1895" spans="1:10" ht="13.5" customHeight="1" x14ac:dyDescent="0.2">
      <c r="A1895" s="78">
        <v>50101717</v>
      </c>
      <c r="B1895" s="64" t="str">
        <f t="shared" ref="B1895:B1909" ca="1" si="80">IFERROR(INDEX(UNSPSCDes,MATCH(INDIRECT(ADDRESS(ROW(),COLUMN()-1,4)),UNSPSCCode,0)),"")</f>
        <v>Nueces y semillas sin cascara</v>
      </c>
      <c r="C1895" s="63" t="s">
        <v>4735</v>
      </c>
      <c r="D1895" s="63">
        <v>14</v>
      </c>
      <c r="E1895" s="66">
        <v>1016</v>
      </c>
      <c r="F1895" s="65">
        <f t="shared" ref="F1895:F1909" ca="1" si="81">INDIRECT(ADDRESS(ROW(),COLUMN()-2,4))*INDIRECT(ADDRESS(ROW(),COLUMN()-1,4))</f>
        <v>14224</v>
      </c>
      <c r="G1895" s="5"/>
      <c r="H1895" s="5"/>
      <c r="I1895" s="5"/>
      <c r="J1895" s="5"/>
    </row>
    <row r="1896" spans="1:10" ht="13.5" customHeight="1" x14ac:dyDescent="0.2">
      <c r="A1896" s="78">
        <v>50101716</v>
      </c>
      <c r="B1896" s="64" t="str">
        <f t="shared" ca="1" si="80"/>
        <v>Nueces y semillas enteras</v>
      </c>
      <c r="C1896" s="63" t="s">
        <v>4735</v>
      </c>
      <c r="D1896" s="63">
        <v>12</v>
      </c>
      <c r="E1896" s="66">
        <v>1000</v>
      </c>
      <c r="F1896" s="65">
        <f t="shared" ca="1" si="81"/>
        <v>12000</v>
      </c>
      <c r="G1896" s="5"/>
      <c r="H1896" s="5"/>
      <c r="I1896" s="5"/>
      <c r="J1896" s="5"/>
    </row>
    <row r="1897" spans="1:10" ht="13.5" customHeight="1" x14ac:dyDescent="0.2">
      <c r="A1897" s="78">
        <v>50161814</v>
      </c>
      <c r="B1897" s="64" t="str">
        <f t="shared" ca="1" si="80"/>
        <v>Azúcar o sustituto de azúcar, confite</v>
      </c>
      <c r="C1897" s="63" t="s">
        <v>4735</v>
      </c>
      <c r="D1897" s="63">
        <v>39</v>
      </c>
      <c r="E1897" s="66">
        <v>120</v>
      </c>
      <c r="F1897" s="65">
        <f t="shared" ca="1" si="81"/>
        <v>4680</v>
      </c>
      <c r="G1897" s="5"/>
      <c r="H1897" s="5"/>
      <c r="I1897" s="5"/>
      <c r="J1897" s="5"/>
    </row>
    <row r="1898" spans="1:10" ht="13.5" customHeight="1" x14ac:dyDescent="0.2">
      <c r="A1898" s="78">
        <v>50161510</v>
      </c>
      <c r="B1898" s="64" t="str">
        <f t="shared" ca="1" si="80"/>
        <v>Endulzantes artificiales</v>
      </c>
      <c r="C1898" s="63" t="s">
        <v>16988</v>
      </c>
      <c r="D1898" s="63">
        <v>43</v>
      </c>
      <c r="E1898" s="66">
        <v>530</v>
      </c>
      <c r="F1898" s="65">
        <f t="shared" ca="1" si="81"/>
        <v>22790</v>
      </c>
      <c r="G1898" s="5"/>
      <c r="H1898" s="5"/>
      <c r="I1898" s="5"/>
      <c r="J1898" s="5"/>
    </row>
    <row r="1899" spans="1:10" ht="13.5" customHeight="1" x14ac:dyDescent="0.2">
      <c r="A1899" s="78">
        <v>50181905</v>
      </c>
      <c r="B1899" s="64" t="str">
        <f t="shared" ca="1" si="80"/>
        <v>Galletas de dulce</v>
      </c>
      <c r="C1899" s="63" t="s">
        <v>4735</v>
      </c>
      <c r="D1899" s="63">
        <v>80</v>
      </c>
      <c r="E1899" s="66">
        <v>150</v>
      </c>
      <c r="F1899" s="65">
        <f t="shared" ca="1" si="81"/>
        <v>12000</v>
      </c>
      <c r="G1899" s="5"/>
      <c r="H1899" s="5"/>
      <c r="I1899" s="5"/>
      <c r="J1899" s="5"/>
    </row>
    <row r="1900" spans="1:10" ht="13.5" customHeight="1" x14ac:dyDescent="0.2">
      <c r="A1900" s="78">
        <v>50181903</v>
      </c>
      <c r="B1900" s="64" t="str">
        <f t="shared" ca="1" si="80"/>
        <v>Galletas sencillas de sal</v>
      </c>
      <c r="C1900" s="63" t="s">
        <v>4735</v>
      </c>
      <c r="D1900" s="63">
        <v>59</v>
      </c>
      <c r="E1900" s="66">
        <v>110</v>
      </c>
      <c r="F1900" s="65">
        <f t="shared" ca="1" si="81"/>
        <v>6490</v>
      </c>
      <c r="G1900" s="5"/>
      <c r="H1900" s="5"/>
      <c r="I1900" s="5"/>
      <c r="J1900" s="5"/>
    </row>
    <row r="1901" spans="1:10" ht="13.5" customHeight="1" x14ac:dyDescent="0.2">
      <c r="A1901" s="78">
        <v>50182001</v>
      </c>
      <c r="B1901" s="64" t="str">
        <f t="shared" ca="1" si="80"/>
        <v>Ponqués pasteles o biscochos frescos</v>
      </c>
      <c r="C1901" s="63" t="s">
        <v>1327</v>
      </c>
      <c r="D1901" s="63">
        <v>60</v>
      </c>
      <c r="E1901" s="66">
        <v>150</v>
      </c>
      <c r="F1901" s="65">
        <f t="shared" ca="1" si="81"/>
        <v>9000</v>
      </c>
      <c r="G1901" s="5"/>
      <c r="H1901" s="5"/>
      <c r="I1901" s="5"/>
      <c r="J1901" s="5"/>
    </row>
    <row r="1902" spans="1:10" ht="13.5" customHeight="1" x14ac:dyDescent="0.2">
      <c r="A1902" s="78">
        <v>50202306</v>
      </c>
      <c r="B1902" s="64" t="str">
        <f t="shared" ca="1" si="80"/>
        <v>Refrescos</v>
      </c>
      <c r="C1902" s="63" t="s">
        <v>1449</v>
      </c>
      <c r="D1902" s="63">
        <v>11</v>
      </c>
      <c r="E1902" s="66">
        <v>50</v>
      </c>
      <c r="F1902" s="65">
        <f t="shared" ca="1" si="81"/>
        <v>550</v>
      </c>
      <c r="G1902" s="5"/>
      <c r="H1902" s="5"/>
      <c r="I1902" s="5"/>
      <c r="J1902" s="5"/>
    </row>
    <row r="1903" spans="1:10" ht="13.5" customHeight="1" x14ac:dyDescent="0.2">
      <c r="A1903" s="78">
        <v>50202301</v>
      </c>
      <c r="B1903" s="64" t="str">
        <f t="shared" ca="1" si="80"/>
        <v>Agua</v>
      </c>
      <c r="C1903" s="63" t="s">
        <v>1449</v>
      </c>
      <c r="D1903" s="63">
        <v>38</v>
      </c>
      <c r="E1903" s="66">
        <v>110</v>
      </c>
      <c r="F1903" s="65">
        <f t="shared" ca="1" si="81"/>
        <v>4180</v>
      </c>
      <c r="G1903" s="5"/>
      <c r="H1903" s="5"/>
      <c r="I1903" s="5"/>
      <c r="J1903" s="5"/>
    </row>
    <row r="1904" spans="1:10" ht="13.5" customHeight="1" x14ac:dyDescent="0.2">
      <c r="A1904" s="78">
        <v>50201713</v>
      </c>
      <c r="B1904" s="64" t="str">
        <f t="shared" ca="1" si="80"/>
        <v>Bolsas de té</v>
      </c>
      <c r="C1904" s="63" t="s">
        <v>16988</v>
      </c>
      <c r="D1904" s="63">
        <v>15</v>
      </c>
      <c r="E1904" s="66">
        <v>150</v>
      </c>
      <c r="F1904" s="65">
        <f t="shared" ca="1" si="81"/>
        <v>2250</v>
      </c>
      <c r="G1904" s="5"/>
      <c r="H1904" s="5"/>
      <c r="I1904" s="5"/>
      <c r="J1904" s="5"/>
    </row>
    <row r="1905" spans="1:10" ht="13.5" customHeight="1" x14ac:dyDescent="0.2">
      <c r="A1905" s="78">
        <v>50201711</v>
      </c>
      <c r="B1905" s="64" t="str">
        <f t="shared" ca="1" si="80"/>
        <v>Té instantáneo</v>
      </c>
      <c r="C1905" s="63" t="s">
        <v>1449</v>
      </c>
      <c r="D1905" s="63">
        <v>14</v>
      </c>
      <c r="E1905" s="66">
        <v>500</v>
      </c>
      <c r="F1905" s="65">
        <f t="shared" ca="1" si="81"/>
        <v>7000</v>
      </c>
      <c r="G1905" s="5"/>
      <c r="H1905" s="5"/>
      <c r="I1905" s="5"/>
      <c r="J1905" s="5"/>
    </row>
    <row r="1906" spans="1:10" ht="13.5" customHeight="1" x14ac:dyDescent="0.2">
      <c r="A1906" s="78">
        <v>50201706</v>
      </c>
      <c r="B1906" s="64" t="str">
        <f t="shared" ca="1" si="80"/>
        <v>Café</v>
      </c>
      <c r="C1906" s="63" t="s">
        <v>15636</v>
      </c>
      <c r="D1906" s="63">
        <v>38</v>
      </c>
      <c r="E1906" s="66">
        <v>200</v>
      </c>
      <c r="F1906" s="65">
        <f t="shared" ca="1" si="81"/>
        <v>7600</v>
      </c>
      <c r="G1906" s="5"/>
      <c r="H1906" s="5"/>
      <c r="I1906" s="5"/>
      <c r="J1906" s="5"/>
    </row>
    <row r="1907" spans="1:10" ht="13.5" customHeight="1" x14ac:dyDescent="0.2">
      <c r="A1907" s="78">
        <v>50202305</v>
      </c>
      <c r="B1907" s="64" t="str">
        <f t="shared" ca="1" si="80"/>
        <v>Jugo fresco</v>
      </c>
      <c r="C1907" s="63" t="s">
        <v>9559</v>
      </c>
      <c r="D1907" s="63">
        <v>16</v>
      </c>
      <c r="E1907" s="66">
        <v>200</v>
      </c>
      <c r="F1907" s="65">
        <f t="shared" ca="1" si="81"/>
        <v>3200</v>
      </c>
      <c r="G1907" s="5"/>
      <c r="H1907" s="5"/>
      <c r="I1907" s="5"/>
      <c r="J1907" s="5"/>
    </row>
    <row r="1908" spans="1:10" ht="13.5" customHeight="1" x14ac:dyDescent="0.2">
      <c r="A1908" s="78">
        <v>50201714</v>
      </c>
      <c r="B1908" s="64" t="str">
        <f t="shared" ca="1" si="80"/>
        <v>Cremas no lácteas</v>
      </c>
      <c r="C1908" s="63" t="s">
        <v>1449</v>
      </c>
      <c r="D1908" s="63">
        <v>10</v>
      </c>
      <c r="E1908" s="66">
        <v>210</v>
      </c>
      <c r="F1908" s="65">
        <f t="shared" ca="1" si="81"/>
        <v>2100</v>
      </c>
      <c r="G1908" s="5"/>
      <c r="H1908" s="5"/>
      <c r="I1908" s="5"/>
      <c r="J1908" s="5"/>
    </row>
    <row r="1909" spans="1:10" ht="13.5" customHeight="1" x14ac:dyDescent="0.2">
      <c r="A1909" s="78">
        <v>50202302</v>
      </c>
      <c r="B1909" s="64" t="str">
        <f t="shared" ca="1" si="80"/>
        <v>Hielo</v>
      </c>
      <c r="C1909" s="63" t="s">
        <v>4735</v>
      </c>
      <c r="D1909" s="63">
        <v>10</v>
      </c>
      <c r="E1909" s="66">
        <v>50</v>
      </c>
      <c r="F1909" s="65">
        <f t="shared" ca="1" si="81"/>
        <v>500</v>
      </c>
      <c r="G1909" s="5"/>
      <c r="H1909" s="5"/>
      <c r="I1909" s="5"/>
      <c r="J1909" s="5"/>
    </row>
    <row r="1910" spans="1:10" ht="14.1" customHeight="1" x14ac:dyDescent="0.2">
      <c r="A1910" s="5"/>
      <c r="B1910" s="5"/>
      <c r="C1910" s="5"/>
      <c r="D1910" s="5"/>
      <c r="E1910" s="68" t="s">
        <v>12550</v>
      </c>
      <c r="F1910" s="69">
        <f ca="1">SUM(Table3120[MONTO TOTAL ESTIMADO])</f>
        <v>108564</v>
      </c>
      <c r="G1910" s="5"/>
      <c r="H1910" s="5" t="str">
        <f>C1888</f>
        <v>Bienes</v>
      </c>
      <c r="I1910" s="5" t="str">
        <f>E1888</f>
        <v>Sí</v>
      </c>
      <c r="J1910" s="5" t="str">
        <f>D1888</f>
        <v>Compras por debajo del Umbral</v>
      </c>
    </row>
    <row r="1911" spans="1:10" ht="14.1" customHeight="1" thickBot="1" x14ac:dyDescent="0.3"/>
    <row r="1912" spans="1:10" ht="33.75" customHeight="1" thickBot="1" x14ac:dyDescent="0.25">
      <c r="A1912" s="59" t="s">
        <v>16382</v>
      </c>
      <c r="B1912" s="59" t="s">
        <v>161</v>
      </c>
      <c r="C1912" s="59" t="s">
        <v>11724</v>
      </c>
      <c r="D1912" s="59" t="s">
        <v>14378</v>
      </c>
      <c r="E1912" s="59" t="s">
        <v>10962</v>
      </c>
      <c r="F1912" s="59" t="s">
        <v>11095</v>
      </c>
      <c r="G1912" s="5"/>
      <c r="H1912" s="5"/>
      <c r="I1912" s="5"/>
      <c r="J1912" s="5"/>
    </row>
    <row r="1913" spans="1:10" ht="13.5" customHeight="1" thickBot="1" x14ac:dyDescent="0.25">
      <c r="A1913" s="77" t="s">
        <v>18893</v>
      </c>
      <c r="B1913" s="77" t="s">
        <v>18895</v>
      </c>
      <c r="C1913" s="61" t="s">
        <v>17797</v>
      </c>
      <c r="D1913" s="61" t="s">
        <v>10171</v>
      </c>
      <c r="E1913" s="61" t="s">
        <v>8854</v>
      </c>
      <c r="F1913" s="61"/>
      <c r="G1913" s="5"/>
      <c r="H1913" s="5"/>
      <c r="I1913" s="5"/>
      <c r="J1913" s="5"/>
    </row>
    <row r="1914" spans="1:10" ht="14.1" customHeight="1" thickBot="1" x14ac:dyDescent="0.25">
      <c r="A1914" s="82" t="s">
        <v>14828</v>
      </c>
      <c r="B1914" s="62" t="s">
        <v>8528</v>
      </c>
      <c r="C1914" s="71">
        <v>44105</v>
      </c>
      <c r="D1914" s="82" t="s">
        <v>9385</v>
      </c>
      <c r="E1914" s="62" t="s">
        <v>13093</v>
      </c>
      <c r="F1914" s="61" t="s">
        <v>3080</v>
      </c>
      <c r="G1914" s="5"/>
      <c r="H1914" s="5"/>
      <c r="I1914" s="5"/>
      <c r="J1914" s="5"/>
    </row>
    <row r="1915" spans="1:10" ht="14.1" customHeight="1" thickBot="1" x14ac:dyDescent="0.25">
      <c r="A1915" s="83"/>
      <c r="B1915" s="62" t="s">
        <v>1786</v>
      </c>
      <c r="C1915" s="60">
        <f>IF(C1914="","",IF(AND(MONTH(C1914)&gt;=1,MONTH(C1914)&lt;=3),1,IF(AND(MONTH(C1914)&gt;=4,MONTH(C1914)&lt;=6),2,IF(AND(MONTH(C1914)&gt;=7,MONTH(C1914)&lt;=9),3,4))))</f>
        <v>4</v>
      </c>
      <c r="D1915" s="83"/>
      <c r="E1915" s="62" t="s">
        <v>2417</v>
      </c>
      <c r="F1915" s="61" t="s">
        <v>11112</v>
      </c>
      <c r="G1915" s="5"/>
      <c r="H1915" s="5"/>
      <c r="I1915" s="5"/>
      <c r="J1915" s="5"/>
    </row>
    <row r="1916" spans="1:10" ht="14.1" customHeight="1" thickBot="1" x14ac:dyDescent="0.25">
      <c r="A1916" s="83"/>
      <c r="B1916" s="62" t="s">
        <v>12942</v>
      </c>
      <c r="C1916" s="71">
        <v>44196</v>
      </c>
      <c r="D1916" s="83"/>
      <c r="E1916" s="62" t="s">
        <v>3073</v>
      </c>
      <c r="F1916" s="61" t="s">
        <v>11112</v>
      </c>
      <c r="G1916" s="5"/>
      <c r="H1916" s="5"/>
      <c r="I1916" s="5"/>
      <c r="J1916" s="5"/>
    </row>
    <row r="1917" spans="1:10" ht="14.1" customHeight="1" thickBot="1" x14ac:dyDescent="0.25">
      <c r="A1917" s="83"/>
      <c r="B1917" s="62" t="s">
        <v>1786</v>
      </c>
      <c r="C1917" s="60">
        <f>IF(C1916="","",IF(AND(MONTH(C1916)&gt;=1,MONTH(C1916)&lt;=3),1,IF(AND(MONTH(C1916)&gt;=4,MONTH(C1916)&lt;=6),2,IF(AND(MONTH(C1916)&gt;=7,MONTH(C1916)&lt;=9),3,4))))</f>
        <v>4</v>
      </c>
      <c r="D1917" s="83"/>
      <c r="E1917" s="62" t="s">
        <v>13192</v>
      </c>
      <c r="F1917" s="61" t="s">
        <v>11112</v>
      </c>
      <c r="G1917" s="5"/>
      <c r="H1917" s="5"/>
      <c r="I1917" s="5"/>
      <c r="J1917" s="5"/>
    </row>
    <row r="1918" spans="1:10" ht="14.1" customHeight="1" thickBot="1" x14ac:dyDescent="0.25">
      <c r="A1918" s="5"/>
      <c r="B1918" s="5"/>
      <c r="C1918" s="5"/>
      <c r="D1918" s="5"/>
      <c r="E1918" s="5"/>
      <c r="F1918" s="5"/>
      <c r="G1918" s="5"/>
      <c r="H1918" s="5"/>
      <c r="I1918" s="5"/>
      <c r="J1918" s="5"/>
    </row>
    <row r="1919" spans="1:10" ht="14.1" customHeight="1" thickBot="1" x14ac:dyDescent="0.25">
      <c r="A1919" s="67" t="s">
        <v>15735</v>
      </c>
      <c r="B1919" s="67" t="s">
        <v>16146</v>
      </c>
      <c r="C1919" s="67" t="s">
        <v>15641</v>
      </c>
      <c r="D1919" s="67" t="s">
        <v>15251</v>
      </c>
      <c r="E1919" s="67" t="s">
        <v>6932</v>
      </c>
      <c r="F1919" s="67" t="s">
        <v>15280</v>
      </c>
      <c r="G1919" s="5"/>
      <c r="H1919" s="5"/>
      <c r="I1919" s="5"/>
      <c r="J1919" s="5"/>
    </row>
    <row r="1920" spans="1:10" ht="13.5" customHeight="1" x14ac:dyDescent="0.2">
      <c r="A1920" s="78">
        <v>50101717</v>
      </c>
      <c r="B1920" s="64" t="str">
        <f t="shared" ref="B1920:B1934" ca="1" si="82">IFERROR(INDEX(UNSPSCDes,MATCH(INDIRECT(ADDRESS(ROW(),COLUMN()-1,4)),UNSPSCCode,0)),"")</f>
        <v>Nueces y semillas sin cascara</v>
      </c>
      <c r="C1920" s="63" t="s">
        <v>4735</v>
      </c>
      <c r="D1920" s="63">
        <v>14</v>
      </c>
      <c r="E1920" s="66">
        <v>1016</v>
      </c>
      <c r="F1920" s="65">
        <f t="shared" ref="F1920:F1934" ca="1" si="83">INDIRECT(ADDRESS(ROW(),COLUMN()-2,4))*INDIRECT(ADDRESS(ROW(),COLUMN()-1,4))</f>
        <v>14224</v>
      </c>
      <c r="G1920" s="5"/>
      <c r="H1920" s="5"/>
      <c r="I1920" s="5"/>
      <c r="J1920" s="5"/>
    </row>
    <row r="1921" spans="1:10" ht="13.5" customHeight="1" x14ac:dyDescent="0.2">
      <c r="A1921" s="78">
        <v>50101716</v>
      </c>
      <c r="B1921" s="64" t="str">
        <f t="shared" ca="1" si="82"/>
        <v>Nueces y semillas enteras</v>
      </c>
      <c r="C1921" s="63" t="s">
        <v>4735</v>
      </c>
      <c r="D1921" s="63">
        <v>12</v>
      </c>
      <c r="E1921" s="66">
        <v>1000</v>
      </c>
      <c r="F1921" s="65">
        <f t="shared" ca="1" si="83"/>
        <v>12000</v>
      </c>
      <c r="G1921" s="5"/>
      <c r="H1921" s="5"/>
      <c r="I1921" s="5"/>
      <c r="J1921" s="5"/>
    </row>
    <row r="1922" spans="1:10" ht="13.5" customHeight="1" x14ac:dyDescent="0.2">
      <c r="A1922" s="78">
        <v>50161814</v>
      </c>
      <c r="B1922" s="64" t="str">
        <f t="shared" ca="1" si="82"/>
        <v>Azúcar o sustituto de azúcar, confite</v>
      </c>
      <c r="C1922" s="63" t="s">
        <v>4735</v>
      </c>
      <c r="D1922" s="63">
        <v>38</v>
      </c>
      <c r="E1922" s="66">
        <v>120</v>
      </c>
      <c r="F1922" s="65">
        <f t="shared" ca="1" si="83"/>
        <v>4560</v>
      </c>
      <c r="G1922" s="5"/>
      <c r="H1922" s="5"/>
      <c r="I1922" s="5"/>
      <c r="J1922" s="5"/>
    </row>
    <row r="1923" spans="1:10" ht="13.5" customHeight="1" x14ac:dyDescent="0.2">
      <c r="A1923" s="78">
        <v>50161510</v>
      </c>
      <c r="B1923" s="64" t="str">
        <f t="shared" ca="1" si="82"/>
        <v>Endulzantes artificiales</v>
      </c>
      <c r="C1923" s="63" t="s">
        <v>16988</v>
      </c>
      <c r="D1923" s="63">
        <v>43</v>
      </c>
      <c r="E1923" s="66">
        <v>530</v>
      </c>
      <c r="F1923" s="65">
        <f t="shared" ca="1" si="83"/>
        <v>22790</v>
      </c>
      <c r="G1923" s="5"/>
      <c r="H1923" s="5"/>
      <c r="I1923" s="5"/>
      <c r="J1923" s="5"/>
    </row>
    <row r="1924" spans="1:10" ht="13.5" customHeight="1" x14ac:dyDescent="0.2">
      <c r="A1924" s="78">
        <v>50181905</v>
      </c>
      <c r="B1924" s="64" t="str">
        <f t="shared" ca="1" si="82"/>
        <v>Galletas de dulce</v>
      </c>
      <c r="C1924" s="79" t="s">
        <v>4735</v>
      </c>
      <c r="D1924" s="63">
        <v>80</v>
      </c>
      <c r="E1924" s="66">
        <v>150</v>
      </c>
      <c r="F1924" s="65">
        <f t="shared" ca="1" si="83"/>
        <v>12000</v>
      </c>
      <c r="G1924" s="5"/>
      <c r="H1924" s="5"/>
      <c r="I1924" s="5"/>
      <c r="J1924" s="5"/>
    </row>
    <row r="1925" spans="1:10" ht="13.5" customHeight="1" x14ac:dyDescent="0.2">
      <c r="A1925" s="78">
        <v>50181903</v>
      </c>
      <c r="B1925" s="64" t="str">
        <f t="shared" ca="1" si="82"/>
        <v>Galletas sencillas de sal</v>
      </c>
      <c r="C1925" s="79" t="s">
        <v>4735</v>
      </c>
      <c r="D1925" s="63">
        <v>59</v>
      </c>
      <c r="E1925" s="66">
        <v>110</v>
      </c>
      <c r="F1925" s="65">
        <f t="shared" ca="1" si="83"/>
        <v>6490</v>
      </c>
      <c r="G1925" s="5"/>
      <c r="H1925" s="5"/>
      <c r="I1925" s="5"/>
      <c r="J1925" s="5"/>
    </row>
    <row r="1926" spans="1:10" ht="13.5" customHeight="1" x14ac:dyDescent="0.2">
      <c r="A1926" s="78">
        <v>50182001</v>
      </c>
      <c r="B1926" s="64" t="str">
        <f t="shared" ca="1" si="82"/>
        <v>Ponqués pasteles o biscochos frescos</v>
      </c>
      <c r="C1926" s="63" t="s">
        <v>1327</v>
      </c>
      <c r="D1926" s="63">
        <v>60</v>
      </c>
      <c r="E1926" s="66">
        <v>150</v>
      </c>
      <c r="F1926" s="65">
        <f t="shared" ca="1" si="83"/>
        <v>9000</v>
      </c>
      <c r="G1926" s="5"/>
      <c r="H1926" s="5"/>
      <c r="I1926" s="5"/>
      <c r="J1926" s="5"/>
    </row>
    <row r="1927" spans="1:10" ht="13.5" customHeight="1" x14ac:dyDescent="0.2">
      <c r="A1927" s="78">
        <v>50202306</v>
      </c>
      <c r="B1927" s="64" t="str">
        <f t="shared" ca="1" si="82"/>
        <v>Refrescos</v>
      </c>
      <c r="C1927" s="63" t="s">
        <v>1449</v>
      </c>
      <c r="D1927" s="63">
        <v>10</v>
      </c>
      <c r="E1927" s="66">
        <v>50</v>
      </c>
      <c r="F1927" s="65">
        <f t="shared" ca="1" si="83"/>
        <v>500</v>
      </c>
      <c r="G1927" s="5"/>
      <c r="H1927" s="5"/>
      <c r="I1927" s="5"/>
      <c r="J1927" s="5"/>
    </row>
    <row r="1928" spans="1:10" ht="13.5" customHeight="1" x14ac:dyDescent="0.2">
      <c r="A1928" s="78">
        <v>50202301</v>
      </c>
      <c r="B1928" s="64" t="str">
        <f t="shared" ca="1" si="82"/>
        <v>Agua</v>
      </c>
      <c r="C1928" s="63" t="s">
        <v>1449</v>
      </c>
      <c r="D1928" s="63">
        <v>38</v>
      </c>
      <c r="E1928" s="66">
        <v>110</v>
      </c>
      <c r="F1928" s="65">
        <f t="shared" ca="1" si="83"/>
        <v>4180</v>
      </c>
      <c r="G1928" s="5"/>
      <c r="H1928" s="5"/>
      <c r="I1928" s="5"/>
      <c r="J1928" s="5"/>
    </row>
    <row r="1929" spans="1:10" ht="13.5" customHeight="1" x14ac:dyDescent="0.2">
      <c r="A1929" s="78">
        <v>50201713</v>
      </c>
      <c r="B1929" s="64" t="str">
        <f t="shared" ca="1" si="82"/>
        <v>Bolsas de té</v>
      </c>
      <c r="C1929" s="63" t="s">
        <v>16988</v>
      </c>
      <c r="D1929" s="63">
        <v>15</v>
      </c>
      <c r="E1929" s="66">
        <v>150</v>
      </c>
      <c r="F1929" s="65">
        <f t="shared" ca="1" si="83"/>
        <v>2250</v>
      </c>
      <c r="G1929" s="5"/>
      <c r="H1929" s="5"/>
      <c r="I1929" s="5"/>
      <c r="J1929" s="5"/>
    </row>
    <row r="1930" spans="1:10" ht="13.5" customHeight="1" x14ac:dyDescent="0.2">
      <c r="A1930" s="78">
        <v>50201711</v>
      </c>
      <c r="B1930" s="64" t="str">
        <f t="shared" ca="1" si="82"/>
        <v>Té instantáneo</v>
      </c>
      <c r="C1930" s="63" t="s">
        <v>1449</v>
      </c>
      <c r="D1930" s="63">
        <v>14</v>
      </c>
      <c r="E1930" s="66">
        <v>500</v>
      </c>
      <c r="F1930" s="65">
        <f t="shared" ca="1" si="83"/>
        <v>7000</v>
      </c>
      <c r="G1930" s="5"/>
      <c r="H1930" s="5"/>
      <c r="I1930" s="5"/>
      <c r="J1930" s="5"/>
    </row>
    <row r="1931" spans="1:10" ht="13.5" customHeight="1" x14ac:dyDescent="0.2">
      <c r="A1931" s="78">
        <v>50201706</v>
      </c>
      <c r="B1931" s="64" t="str">
        <f t="shared" ca="1" si="82"/>
        <v>Café</v>
      </c>
      <c r="C1931" s="63" t="s">
        <v>15636</v>
      </c>
      <c r="D1931" s="63">
        <v>38</v>
      </c>
      <c r="E1931" s="66">
        <v>200</v>
      </c>
      <c r="F1931" s="65">
        <f t="shared" ca="1" si="83"/>
        <v>7600</v>
      </c>
      <c r="G1931" s="5"/>
      <c r="H1931" s="5"/>
      <c r="I1931" s="5"/>
      <c r="J1931" s="5"/>
    </row>
    <row r="1932" spans="1:10" ht="13.5" customHeight="1" x14ac:dyDescent="0.2">
      <c r="A1932" s="78">
        <v>50202305</v>
      </c>
      <c r="B1932" s="64" t="str">
        <f t="shared" ca="1" si="82"/>
        <v>Jugo fresco</v>
      </c>
      <c r="C1932" s="63" t="s">
        <v>9559</v>
      </c>
      <c r="D1932" s="63">
        <v>16</v>
      </c>
      <c r="E1932" s="66">
        <v>200</v>
      </c>
      <c r="F1932" s="65">
        <f t="shared" ca="1" si="83"/>
        <v>3200</v>
      </c>
      <c r="G1932" s="5"/>
      <c r="H1932" s="5"/>
      <c r="I1932" s="5"/>
      <c r="J1932" s="5"/>
    </row>
    <row r="1933" spans="1:10" ht="13.5" customHeight="1" x14ac:dyDescent="0.2">
      <c r="A1933" s="78">
        <v>50202302</v>
      </c>
      <c r="B1933" s="64" t="str">
        <f t="shared" ca="1" si="82"/>
        <v>Hielo</v>
      </c>
      <c r="C1933" s="63" t="s">
        <v>4735</v>
      </c>
      <c r="D1933" s="63">
        <v>10</v>
      </c>
      <c r="E1933" s="66">
        <v>50</v>
      </c>
      <c r="F1933" s="65">
        <f t="shared" ca="1" si="83"/>
        <v>500</v>
      </c>
      <c r="G1933" s="5"/>
      <c r="H1933" s="5"/>
      <c r="I1933" s="5"/>
      <c r="J1933" s="5"/>
    </row>
    <row r="1934" spans="1:10" ht="13.5" customHeight="1" x14ac:dyDescent="0.2">
      <c r="A1934" s="78">
        <v>50201714</v>
      </c>
      <c r="B1934" s="64" t="str">
        <f t="shared" ca="1" si="82"/>
        <v>Cremas no lácteas</v>
      </c>
      <c r="C1934" s="63" t="s">
        <v>1449</v>
      </c>
      <c r="D1934" s="63">
        <v>10</v>
      </c>
      <c r="E1934" s="66">
        <v>210</v>
      </c>
      <c r="F1934" s="65">
        <f t="shared" ca="1" si="83"/>
        <v>2100</v>
      </c>
      <c r="G1934" s="5"/>
      <c r="H1934" s="5"/>
      <c r="I1934" s="5"/>
      <c r="J1934" s="5"/>
    </row>
    <row r="1935" spans="1:10" ht="14.1" customHeight="1" x14ac:dyDescent="0.2">
      <c r="A1935" s="5"/>
      <c r="B1935" s="5"/>
      <c r="C1935" s="5"/>
      <c r="D1935" s="5"/>
      <c r="E1935" s="68" t="s">
        <v>12550</v>
      </c>
      <c r="F1935" s="69">
        <f ca="1">SUM(Table3121[MONTO TOTAL ESTIMADO])</f>
        <v>108394</v>
      </c>
      <c r="G1935" s="5"/>
      <c r="H1935" s="5" t="str">
        <f>C1913</f>
        <v>Bienes</v>
      </c>
      <c r="I1935" s="5" t="str">
        <f>E1913</f>
        <v>Sí</v>
      </c>
      <c r="J1935" s="5" t="str">
        <f>D1913</f>
        <v>Compras por debajo del Umbral</v>
      </c>
    </row>
    <row r="1936" spans="1:10" ht="14.1" customHeight="1" thickBot="1" x14ac:dyDescent="0.3"/>
    <row r="1937" spans="1:10" ht="33.75" customHeight="1" thickBot="1" x14ac:dyDescent="0.25">
      <c r="A1937" s="59" t="s">
        <v>16382</v>
      </c>
      <c r="B1937" s="59" t="s">
        <v>161</v>
      </c>
      <c r="C1937" s="59" t="s">
        <v>11724</v>
      </c>
      <c r="D1937" s="59" t="s">
        <v>14378</v>
      </c>
      <c r="E1937" s="59" t="s">
        <v>10962</v>
      </c>
      <c r="F1937" s="59" t="s">
        <v>11095</v>
      </c>
      <c r="G1937" s="5"/>
      <c r="H1937" s="5"/>
      <c r="I1937" s="5"/>
      <c r="J1937" s="5"/>
    </row>
    <row r="1938" spans="1:10" ht="13.5" customHeight="1" thickBot="1" x14ac:dyDescent="0.25">
      <c r="A1938" s="77" t="s">
        <v>18896</v>
      </c>
      <c r="B1938" s="77" t="s">
        <v>18897</v>
      </c>
      <c r="C1938" s="61" t="s">
        <v>6798</v>
      </c>
      <c r="D1938" s="61" t="s">
        <v>10171</v>
      </c>
      <c r="E1938" s="61" t="s">
        <v>8854</v>
      </c>
      <c r="F1938" s="61"/>
      <c r="G1938" s="5"/>
      <c r="H1938" s="5"/>
      <c r="I1938" s="5"/>
      <c r="J1938" s="5"/>
    </row>
    <row r="1939" spans="1:10" ht="14.1" customHeight="1" thickBot="1" x14ac:dyDescent="0.25">
      <c r="A1939" s="82" t="s">
        <v>14828</v>
      </c>
      <c r="B1939" s="62" t="s">
        <v>8528</v>
      </c>
      <c r="C1939" s="71">
        <v>43831</v>
      </c>
      <c r="D1939" s="82" t="s">
        <v>9385</v>
      </c>
      <c r="E1939" s="62" t="s">
        <v>13093</v>
      </c>
      <c r="F1939" s="61" t="s">
        <v>3080</v>
      </c>
      <c r="G1939" s="5"/>
      <c r="H1939" s="5"/>
      <c r="I1939" s="5"/>
      <c r="J1939" s="5"/>
    </row>
    <row r="1940" spans="1:10" ht="14.1" customHeight="1" thickBot="1" x14ac:dyDescent="0.25">
      <c r="A1940" s="83"/>
      <c r="B1940" s="62" t="s">
        <v>1786</v>
      </c>
      <c r="C1940" s="60">
        <f>IF(C1939="","",IF(AND(MONTH(C1939)&gt;=1,MONTH(C1939)&lt;=3),1,IF(AND(MONTH(C1939)&gt;=4,MONTH(C1939)&lt;=6),2,IF(AND(MONTH(C1939)&gt;=7,MONTH(C1939)&lt;=9),3,4))))</f>
        <v>1</v>
      </c>
      <c r="D1940" s="83"/>
      <c r="E1940" s="62" t="s">
        <v>2417</v>
      </c>
      <c r="F1940" s="61" t="s">
        <v>11112</v>
      </c>
      <c r="G1940" s="5"/>
      <c r="H1940" s="5"/>
      <c r="I1940" s="5"/>
      <c r="J1940" s="5"/>
    </row>
    <row r="1941" spans="1:10" ht="14.1" customHeight="1" thickBot="1" x14ac:dyDescent="0.25">
      <c r="A1941" s="83"/>
      <c r="B1941" s="62" t="s">
        <v>12942</v>
      </c>
      <c r="C1941" s="71">
        <v>43921</v>
      </c>
      <c r="D1941" s="83"/>
      <c r="E1941" s="62" t="s">
        <v>3073</v>
      </c>
      <c r="F1941" s="61" t="s">
        <v>11112</v>
      </c>
      <c r="G1941" s="5"/>
      <c r="H1941" s="5"/>
      <c r="I1941" s="5"/>
      <c r="J1941" s="5"/>
    </row>
    <row r="1942" spans="1:10" ht="14.1" customHeight="1" thickBot="1" x14ac:dyDescent="0.25">
      <c r="A1942" s="83"/>
      <c r="B1942" s="62" t="s">
        <v>1786</v>
      </c>
      <c r="C1942" s="60">
        <f>IF(C1941="","",IF(AND(MONTH(C1941)&gt;=1,MONTH(C1941)&lt;=3),1,IF(AND(MONTH(C1941)&gt;=4,MONTH(C1941)&lt;=6),2,IF(AND(MONTH(C1941)&gt;=7,MONTH(C1941)&lt;=9),3,4))))</f>
        <v>1</v>
      </c>
      <c r="D1942" s="83"/>
      <c r="E1942" s="62" t="s">
        <v>13192</v>
      </c>
      <c r="F1942" s="61" t="s">
        <v>11112</v>
      </c>
      <c r="G1942" s="5"/>
      <c r="H1942" s="5"/>
      <c r="I1942" s="5"/>
      <c r="J1942" s="5"/>
    </row>
    <row r="1943" spans="1:10" ht="14.1" customHeight="1" thickBot="1" x14ac:dyDescent="0.25">
      <c r="A1943" s="5"/>
      <c r="B1943" s="5"/>
      <c r="C1943" s="5"/>
      <c r="D1943" s="5"/>
      <c r="E1943" s="5"/>
      <c r="F1943" s="5"/>
      <c r="G1943" s="5"/>
      <c r="H1943" s="5"/>
      <c r="I1943" s="5"/>
      <c r="J1943" s="5"/>
    </row>
    <row r="1944" spans="1:10" ht="14.1" customHeight="1" thickBot="1" x14ac:dyDescent="0.25">
      <c r="A1944" s="67" t="s">
        <v>15735</v>
      </c>
      <c r="B1944" s="67" t="s">
        <v>16146</v>
      </c>
      <c r="C1944" s="67" t="s">
        <v>15641</v>
      </c>
      <c r="D1944" s="67" t="s">
        <v>15251</v>
      </c>
      <c r="E1944" s="67" t="s">
        <v>6932</v>
      </c>
      <c r="F1944" s="67" t="s">
        <v>15280</v>
      </c>
      <c r="G1944" s="5"/>
      <c r="H1944" s="5"/>
      <c r="I1944" s="5"/>
      <c r="J1944" s="5"/>
    </row>
    <row r="1945" spans="1:10" ht="13.5" customHeight="1" x14ac:dyDescent="0.2">
      <c r="A1945" s="78">
        <v>50192701</v>
      </c>
      <c r="B1945" s="64" t="str">
        <f ca="1">IFERROR(INDEX(UNSPSCDes,MATCH(INDIRECT(ADDRESS(ROW(),COLUMN()-1,4)),UNSPSCCode,0)),"")</f>
        <v>Comidas combinadas frescas</v>
      </c>
      <c r="C1945" s="63" t="s">
        <v>1449</v>
      </c>
      <c r="D1945" s="63">
        <v>80</v>
      </c>
      <c r="E1945" s="66">
        <v>150</v>
      </c>
      <c r="F1945" s="65">
        <f ca="1">INDIRECT(ADDRESS(ROW(),COLUMN()-2,4))*INDIRECT(ADDRESS(ROW(),COLUMN()-1,4))</f>
        <v>12000</v>
      </c>
      <c r="G1945" s="5"/>
      <c r="H1945" s="5"/>
      <c r="I1945" s="5"/>
      <c r="J1945" s="5"/>
    </row>
    <row r="1946" spans="1:10" ht="13.5" customHeight="1" x14ac:dyDescent="0.2">
      <c r="A1946" s="78">
        <v>50192803</v>
      </c>
      <c r="B1946" s="64" t="str">
        <f ca="1">IFERROR(INDEX(UNSPSCDes,MATCH(INDIRECT(ADDRESS(ROW(),COLUMN()-1,4)),UNSPSCCode,0)),"")</f>
        <v>Pasteles de sal de repisa</v>
      </c>
      <c r="C1946" s="63" t="s">
        <v>1449</v>
      </c>
      <c r="D1946" s="63">
        <v>58</v>
      </c>
      <c r="E1946" s="66">
        <v>110</v>
      </c>
      <c r="F1946" s="65">
        <f ca="1">INDIRECT(ADDRESS(ROW(),COLUMN()-2,4))*INDIRECT(ADDRESS(ROW(),COLUMN()-1,4))</f>
        <v>6380</v>
      </c>
      <c r="G1946" s="5"/>
      <c r="H1946" s="5"/>
      <c r="I1946" s="5"/>
      <c r="J1946" s="5"/>
    </row>
    <row r="1947" spans="1:10" ht="13.5" customHeight="1" x14ac:dyDescent="0.2">
      <c r="A1947" s="78">
        <v>50192501</v>
      </c>
      <c r="B1947" s="64" t="str">
        <f ca="1">IFERROR(INDEX(UNSPSCDes,MATCH(INDIRECT(ADDRESS(ROW(),COLUMN()-1,4)),UNSPSCCode,0)),"")</f>
        <v>Emparedados frescos</v>
      </c>
      <c r="C1947" s="63" t="s">
        <v>1449</v>
      </c>
      <c r="D1947" s="63">
        <v>60</v>
      </c>
      <c r="E1947" s="66">
        <v>150</v>
      </c>
      <c r="F1947" s="65">
        <f ca="1">INDIRECT(ADDRESS(ROW(),COLUMN()-2,4))*INDIRECT(ADDRESS(ROW(),COLUMN()-1,4))</f>
        <v>9000</v>
      </c>
      <c r="G1947" s="5"/>
      <c r="H1947" s="5"/>
      <c r="I1947" s="5"/>
      <c r="J1947" s="5"/>
    </row>
    <row r="1948" spans="1:10" ht="14.1" customHeight="1" x14ac:dyDescent="0.2">
      <c r="A1948" s="5"/>
      <c r="B1948" s="5"/>
      <c r="C1948" s="5"/>
      <c r="D1948" s="5"/>
      <c r="E1948" s="68" t="s">
        <v>12550</v>
      </c>
      <c r="F1948" s="69">
        <f ca="1">SUM(Table3122[MONTO TOTAL ESTIMADO])</f>
        <v>27380</v>
      </c>
      <c r="G1948" s="5"/>
      <c r="H1948" s="5" t="str">
        <f>C1938</f>
        <v>Servicios</v>
      </c>
      <c r="I1948" s="5" t="str">
        <f>E1938</f>
        <v>Sí</v>
      </c>
      <c r="J1948" s="5" t="str">
        <f>D1938</f>
        <v>Compras por debajo del Umbral</v>
      </c>
    </row>
    <row r="1949" spans="1:10" ht="14.1" customHeight="1" thickBot="1" x14ac:dyDescent="0.3"/>
    <row r="1950" spans="1:10" ht="33.75" customHeight="1" thickBot="1" x14ac:dyDescent="0.25">
      <c r="A1950" s="59" t="s">
        <v>16382</v>
      </c>
      <c r="B1950" s="59" t="s">
        <v>161</v>
      </c>
      <c r="C1950" s="59" t="s">
        <v>11724</v>
      </c>
      <c r="D1950" s="59" t="s">
        <v>14378</v>
      </c>
      <c r="E1950" s="59" t="s">
        <v>10962</v>
      </c>
      <c r="F1950" s="59" t="s">
        <v>11095</v>
      </c>
      <c r="G1950" s="5"/>
      <c r="H1950" s="5"/>
      <c r="I1950" s="5"/>
      <c r="J1950" s="5"/>
    </row>
    <row r="1951" spans="1:10" ht="13.5" customHeight="1" thickBot="1" x14ac:dyDescent="0.25">
      <c r="A1951" s="77" t="s">
        <v>18896</v>
      </c>
      <c r="B1951" s="77" t="s">
        <v>18897</v>
      </c>
      <c r="C1951" s="61" t="s">
        <v>6798</v>
      </c>
      <c r="D1951" s="61" t="s">
        <v>10171</v>
      </c>
      <c r="E1951" s="61" t="s">
        <v>8854</v>
      </c>
      <c r="F1951" s="61"/>
      <c r="G1951" s="5"/>
      <c r="H1951" s="5"/>
      <c r="I1951" s="5"/>
      <c r="J1951" s="5"/>
    </row>
    <row r="1952" spans="1:10" ht="14.1" customHeight="1" thickBot="1" x14ac:dyDescent="0.25">
      <c r="A1952" s="82" t="s">
        <v>14828</v>
      </c>
      <c r="B1952" s="62" t="s">
        <v>8528</v>
      </c>
      <c r="C1952" s="71">
        <v>43922</v>
      </c>
      <c r="D1952" s="82" t="s">
        <v>9385</v>
      </c>
      <c r="E1952" s="62" t="s">
        <v>13093</v>
      </c>
      <c r="F1952" s="61" t="s">
        <v>3080</v>
      </c>
      <c r="G1952" s="5"/>
      <c r="H1952" s="5"/>
      <c r="I1952" s="5"/>
      <c r="J1952" s="5"/>
    </row>
    <row r="1953" spans="1:10" ht="14.1" customHeight="1" thickBot="1" x14ac:dyDescent="0.25">
      <c r="A1953" s="83"/>
      <c r="B1953" s="62" t="s">
        <v>1786</v>
      </c>
      <c r="C1953" s="60">
        <f>IF(C1952="","",IF(AND(MONTH(C1952)&gt;=1,MONTH(C1952)&lt;=3),1,IF(AND(MONTH(C1952)&gt;=4,MONTH(C1952)&lt;=6),2,IF(AND(MONTH(C1952)&gt;=7,MONTH(C1952)&lt;=9),3,4))))</f>
        <v>2</v>
      </c>
      <c r="D1953" s="83"/>
      <c r="E1953" s="62" t="s">
        <v>2417</v>
      </c>
      <c r="F1953" s="61" t="s">
        <v>11112</v>
      </c>
      <c r="G1953" s="5"/>
      <c r="H1953" s="5"/>
      <c r="I1953" s="5"/>
      <c r="J1953" s="5"/>
    </row>
    <row r="1954" spans="1:10" ht="14.1" customHeight="1" thickBot="1" x14ac:dyDescent="0.25">
      <c r="A1954" s="83"/>
      <c r="B1954" s="62" t="s">
        <v>12942</v>
      </c>
      <c r="C1954" s="71">
        <v>44012</v>
      </c>
      <c r="D1954" s="83"/>
      <c r="E1954" s="62" t="s">
        <v>3073</v>
      </c>
      <c r="F1954" s="61" t="s">
        <v>11112</v>
      </c>
      <c r="G1954" s="5"/>
      <c r="H1954" s="5"/>
      <c r="I1954" s="5"/>
      <c r="J1954" s="5"/>
    </row>
    <row r="1955" spans="1:10" ht="14.1" customHeight="1" thickBot="1" x14ac:dyDescent="0.25">
      <c r="A1955" s="83"/>
      <c r="B1955" s="62" t="s">
        <v>1786</v>
      </c>
      <c r="C1955" s="60">
        <f>IF(C1954="","",IF(AND(MONTH(C1954)&gt;=1,MONTH(C1954)&lt;=3),1,IF(AND(MONTH(C1954)&gt;=4,MONTH(C1954)&lt;=6),2,IF(AND(MONTH(C1954)&gt;=7,MONTH(C1954)&lt;=9),3,4))))</f>
        <v>2</v>
      </c>
      <c r="D1955" s="83"/>
      <c r="E1955" s="62" t="s">
        <v>13192</v>
      </c>
      <c r="F1955" s="61" t="s">
        <v>11112</v>
      </c>
      <c r="G1955" s="5"/>
      <c r="H1955" s="5"/>
      <c r="I1955" s="5"/>
      <c r="J1955" s="5"/>
    </row>
    <row r="1956" spans="1:10" ht="14.1" customHeight="1" thickBot="1" x14ac:dyDescent="0.25">
      <c r="A1956" s="5"/>
      <c r="B1956" s="5"/>
      <c r="C1956" s="5"/>
      <c r="D1956" s="5"/>
      <c r="E1956" s="5"/>
      <c r="F1956" s="5"/>
      <c r="G1956" s="5"/>
      <c r="H1956" s="5"/>
      <c r="I1956" s="5"/>
      <c r="J1956" s="5"/>
    </row>
    <row r="1957" spans="1:10" ht="14.1" customHeight="1" thickBot="1" x14ac:dyDescent="0.25">
      <c r="A1957" s="67" t="s">
        <v>15735</v>
      </c>
      <c r="B1957" s="67" t="s">
        <v>16146</v>
      </c>
      <c r="C1957" s="67" t="s">
        <v>15641</v>
      </c>
      <c r="D1957" s="67" t="s">
        <v>15251</v>
      </c>
      <c r="E1957" s="67" t="s">
        <v>6932</v>
      </c>
      <c r="F1957" s="67" t="s">
        <v>15280</v>
      </c>
      <c r="G1957" s="5"/>
      <c r="H1957" s="5"/>
      <c r="I1957" s="5"/>
      <c r="J1957" s="5"/>
    </row>
    <row r="1958" spans="1:10" ht="13.5" customHeight="1" x14ac:dyDescent="0.2">
      <c r="A1958" s="78">
        <v>50192701</v>
      </c>
      <c r="B1958" s="64" t="str">
        <f ca="1">IFERROR(INDEX(UNSPSCDes,MATCH(INDIRECT(ADDRESS(ROW(),COLUMN()-1,4)),UNSPSCCode,0)),"")</f>
        <v>Comidas combinadas frescas</v>
      </c>
      <c r="C1958" s="63" t="s">
        <v>1449</v>
      </c>
      <c r="D1958" s="63">
        <v>80</v>
      </c>
      <c r="E1958" s="66">
        <v>150</v>
      </c>
      <c r="F1958" s="65">
        <f ca="1">INDIRECT(ADDRESS(ROW(),COLUMN()-2,4))*INDIRECT(ADDRESS(ROW(),COLUMN()-1,4))</f>
        <v>12000</v>
      </c>
      <c r="G1958" s="5"/>
      <c r="H1958" s="5"/>
      <c r="I1958" s="5"/>
      <c r="J1958" s="5"/>
    </row>
    <row r="1959" spans="1:10" ht="13.5" customHeight="1" x14ac:dyDescent="0.2">
      <c r="A1959" s="78">
        <v>50192803</v>
      </c>
      <c r="B1959" s="64" t="str">
        <f ca="1">IFERROR(INDEX(UNSPSCDes,MATCH(INDIRECT(ADDRESS(ROW(),COLUMN()-1,4)),UNSPSCCode,0)),"")</f>
        <v>Pasteles de sal de repisa</v>
      </c>
      <c r="C1959" s="79" t="s">
        <v>1449</v>
      </c>
      <c r="D1959" s="63">
        <v>58</v>
      </c>
      <c r="E1959" s="66">
        <v>110</v>
      </c>
      <c r="F1959" s="65">
        <f ca="1">INDIRECT(ADDRESS(ROW(),COLUMN()-2,4))*INDIRECT(ADDRESS(ROW(),COLUMN()-1,4))</f>
        <v>6380</v>
      </c>
      <c r="G1959" s="5"/>
      <c r="H1959" s="5"/>
      <c r="I1959" s="5"/>
      <c r="J1959" s="5"/>
    </row>
    <row r="1960" spans="1:10" ht="13.5" customHeight="1" x14ac:dyDescent="0.2">
      <c r="A1960" s="78">
        <v>50192501</v>
      </c>
      <c r="B1960" s="64" t="str">
        <f ca="1">IFERROR(INDEX(UNSPSCDes,MATCH(INDIRECT(ADDRESS(ROW(),COLUMN()-1,4)),UNSPSCCode,0)),"")</f>
        <v>Emparedados frescos</v>
      </c>
      <c r="C1960" s="79" t="s">
        <v>1449</v>
      </c>
      <c r="D1960" s="63">
        <v>60</v>
      </c>
      <c r="E1960" s="66">
        <v>150</v>
      </c>
      <c r="F1960" s="65">
        <f ca="1">INDIRECT(ADDRESS(ROW(),COLUMN()-2,4))*INDIRECT(ADDRESS(ROW(),COLUMN()-1,4))</f>
        <v>9000</v>
      </c>
      <c r="G1960" s="5"/>
      <c r="H1960" s="5"/>
      <c r="I1960" s="5"/>
      <c r="J1960" s="5"/>
    </row>
    <row r="1961" spans="1:10" ht="14.1" customHeight="1" x14ac:dyDescent="0.2">
      <c r="A1961" s="5"/>
      <c r="B1961" s="5"/>
      <c r="C1961" s="5"/>
      <c r="D1961" s="5"/>
      <c r="E1961" s="68" t="s">
        <v>12550</v>
      </c>
      <c r="F1961" s="69">
        <f ca="1">SUM(Table3123[MONTO TOTAL ESTIMADO])</f>
        <v>27380</v>
      </c>
      <c r="G1961" s="5"/>
      <c r="H1961" s="5" t="str">
        <f>C1951</f>
        <v>Servicios</v>
      </c>
      <c r="I1961" s="5" t="str">
        <f>E1951</f>
        <v>Sí</v>
      </c>
      <c r="J1961" s="5" t="str">
        <f>D1951</f>
        <v>Compras por debajo del Umbral</v>
      </c>
    </row>
    <row r="1962" spans="1:10" ht="14.1" customHeight="1" thickBot="1" x14ac:dyDescent="0.3"/>
    <row r="1963" spans="1:10" ht="33.75" customHeight="1" thickBot="1" x14ac:dyDescent="0.25">
      <c r="A1963" s="59" t="s">
        <v>16382</v>
      </c>
      <c r="B1963" s="59" t="s">
        <v>161</v>
      </c>
      <c r="C1963" s="59" t="s">
        <v>11724</v>
      </c>
      <c r="D1963" s="59" t="s">
        <v>14378</v>
      </c>
      <c r="E1963" s="59" t="s">
        <v>10962</v>
      </c>
      <c r="F1963" s="59" t="s">
        <v>11095</v>
      </c>
      <c r="G1963" s="5"/>
      <c r="H1963" s="5"/>
      <c r="I1963" s="5"/>
      <c r="J1963" s="5"/>
    </row>
    <row r="1964" spans="1:10" ht="13.5" customHeight="1" thickBot="1" x14ac:dyDescent="0.25">
      <c r="A1964" s="77" t="s">
        <v>18896</v>
      </c>
      <c r="B1964" s="77" t="s">
        <v>18897</v>
      </c>
      <c r="C1964" s="61" t="s">
        <v>6798</v>
      </c>
      <c r="D1964" s="61" t="s">
        <v>10171</v>
      </c>
      <c r="E1964" s="61" t="s">
        <v>8854</v>
      </c>
      <c r="F1964" s="61"/>
      <c r="G1964" s="5"/>
      <c r="H1964" s="5"/>
      <c r="I1964" s="5"/>
      <c r="J1964" s="5"/>
    </row>
    <row r="1965" spans="1:10" ht="14.1" customHeight="1" thickBot="1" x14ac:dyDescent="0.25">
      <c r="A1965" s="82" t="s">
        <v>14828</v>
      </c>
      <c r="B1965" s="62" t="s">
        <v>8528</v>
      </c>
      <c r="C1965" s="71">
        <v>44013</v>
      </c>
      <c r="D1965" s="82" t="s">
        <v>9385</v>
      </c>
      <c r="E1965" s="62" t="s">
        <v>13093</v>
      </c>
      <c r="F1965" s="61" t="s">
        <v>3080</v>
      </c>
      <c r="G1965" s="5"/>
      <c r="H1965" s="5"/>
      <c r="I1965" s="5"/>
      <c r="J1965" s="5"/>
    </row>
    <row r="1966" spans="1:10" ht="14.1" customHeight="1" thickBot="1" x14ac:dyDescent="0.25">
      <c r="A1966" s="83"/>
      <c r="B1966" s="62" t="s">
        <v>1786</v>
      </c>
      <c r="C1966" s="60">
        <f>IF(C1965="","",IF(AND(MONTH(C1965)&gt;=1,MONTH(C1965)&lt;=3),1,IF(AND(MONTH(C1965)&gt;=4,MONTH(C1965)&lt;=6),2,IF(AND(MONTH(C1965)&gt;=7,MONTH(C1965)&lt;=9),3,4))))</f>
        <v>3</v>
      </c>
      <c r="D1966" s="83"/>
      <c r="E1966" s="62" t="s">
        <v>2417</v>
      </c>
      <c r="F1966" s="61" t="s">
        <v>11112</v>
      </c>
      <c r="G1966" s="5"/>
      <c r="H1966" s="5"/>
      <c r="I1966" s="5"/>
      <c r="J1966" s="5"/>
    </row>
    <row r="1967" spans="1:10" ht="14.1" customHeight="1" thickBot="1" x14ac:dyDescent="0.25">
      <c r="A1967" s="83"/>
      <c r="B1967" s="62" t="s">
        <v>12942</v>
      </c>
      <c r="C1967" s="71">
        <v>44104</v>
      </c>
      <c r="D1967" s="83"/>
      <c r="E1967" s="62" t="s">
        <v>3073</v>
      </c>
      <c r="F1967" s="61" t="s">
        <v>11112</v>
      </c>
      <c r="G1967" s="5"/>
      <c r="H1967" s="5"/>
      <c r="I1967" s="5"/>
      <c r="J1967" s="5"/>
    </row>
    <row r="1968" spans="1:10" ht="14.1" customHeight="1" thickBot="1" x14ac:dyDescent="0.25">
      <c r="A1968" s="83"/>
      <c r="B1968" s="62" t="s">
        <v>1786</v>
      </c>
      <c r="C1968" s="60">
        <f>IF(C1967="","",IF(AND(MONTH(C1967)&gt;=1,MONTH(C1967)&lt;=3),1,IF(AND(MONTH(C1967)&gt;=4,MONTH(C1967)&lt;=6),2,IF(AND(MONTH(C1967)&gt;=7,MONTH(C1967)&lt;=9),3,4))))</f>
        <v>3</v>
      </c>
      <c r="D1968" s="83"/>
      <c r="E1968" s="62" t="s">
        <v>13192</v>
      </c>
      <c r="F1968" s="61" t="s">
        <v>11112</v>
      </c>
      <c r="G1968" s="5"/>
      <c r="H1968" s="5"/>
      <c r="I1968" s="5"/>
      <c r="J1968" s="5"/>
    </row>
    <row r="1969" spans="1:10" ht="14.1" customHeight="1" thickBot="1" x14ac:dyDescent="0.25">
      <c r="A1969" s="5"/>
      <c r="B1969" s="5"/>
      <c r="C1969" s="5"/>
      <c r="D1969" s="5"/>
      <c r="E1969" s="5"/>
      <c r="F1969" s="5"/>
      <c r="G1969" s="5"/>
      <c r="H1969" s="5"/>
      <c r="I1969" s="5"/>
      <c r="J1969" s="5"/>
    </row>
    <row r="1970" spans="1:10" ht="14.1" customHeight="1" thickBot="1" x14ac:dyDescent="0.25">
      <c r="A1970" s="67" t="s">
        <v>15735</v>
      </c>
      <c r="B1970" s="67" t="s">
        <v>16146</v>
      </c>
      <c r="C1970" s="67" t="s">
        <v>15641</v>
      </c>
      <c r="D1970" s="67" t="s">
        <v>15251</v>
      </c>
      <c r="E1970" s="67" t="s">
        <v>6932</v>
      </c>
      <c r="F1970" s="67" t="s">
        <v>15280</v>
      </c>
      <c r="G1970" s="5"/>
      <c r="H1970" s="5"/>
      <c r="I1970" s="5"/>
      <c r="J1970" s="5"/>
    </row>
    <row r="1971" spans="1:10" ht="13.5" customHeight="1" x14ac:dyDescent="0.2">
      <c r="A1971" s="78">
        <v>50192701</v>
      </c>
      <c r="B1971" s="64" t="str">
        <f ca="1">IFERROR(INDEX(UNSPSCDes,MATCH(INDIRECT(ADDRESS(ROW(),COLUMN()-1,4)),UNSPSCCode,0)),"")</f>
        <v>Comidas combinadas frescas</v>
      </c>
      <c r="C1971" s="63" t="s">
        <v>1449</v>
      </c>
      <c r="D1971" s="63">
        <v>80</v>
      </c>
      <c r="E1971" s="66">
        <v>150</v>
      </c>
      <c r="F1971" s="65">
        <f ca="1">INDIRECT(ADDRESS(ROW(),COLUMN()-2,4))*INDIRECT(ADDRESS(ROW(),COLUMN()-1,4))</f>
        <v>12000</v>
      </c>
      <c r="G1971" s="5"/>
      <c r="H1971" s="5"/>
      <c r="I1971" s="5"/>
      <c r="J1971" s="5"/>
    </row>
    <row r="1972" spans="1:10" ht="13.5" customHeight="1" x14ac:dyDescent="0.2">
      <c r="A1972" s="78">
        <v>50192803</v>
      </c>
      <c r="B1972" s="64" t="str">
        <f ca="1">IFERROR(INDEX(UNSPSCDes,MATCH(INDIRECT(ADDRESS(ROW(),COLUMN()-1,4)),UNSPSCCode,0)),"")</f>
        <v>Pasteles de sal de repisa</v>
      </c>
      <c r="C1972" s="79" t="s">
        <v>1449</v>
      </c>
      <c r="D1972" s="63">
        <v>58</v>
      </c>
      <c r="E1972" s="66">
        <v>110</v>
      </c>
      <c r="F1972" s="65">
        <f ca="1">INDIRECT(ADDRESS(ROW(),COLUMN()-2,4))*INDIRECT(ADDRESS(ROW(),COLUMN()-1,4))</f>
        <v>6380</v>
      </c>
      <c r="G1972" s="5"/>
      <c r="H1972" s="5"/>
      <c r="I1972" s="5"/>
      <c r="J1972" s="5"/>
    </row>
    <row r="1973" spans="1:10" ht="13.5" customHeight="1" x14ac:dyDescent="0.2">
      <c r="A1973" s="78">
        <v>50192501</v>
      </c>
      <c r="B1973" s="64" t="str">
        <f ca="1">IFERROR(INDEX(UNSPSCDes,MATCH(INDIRECT(ADDRESS(ROW(),COLUMN()-1,4)),UNSPSCCode,0)),"")</f>
        <v>Emparedados frescos</v>
      </c>
      <c r="C1973" s="63" t="s">
        <v>1449</v>
      </c>
      <c r="D1973" s="63">
        <v>60</v>
      </c>
      <c r="E1973" s="66">
        <v>150</v>
      </c>
      <c r="F1973" s="65">
        <f ca="1">INDIRECT(ADDRESS(ROW(),COLUMN()-2,4))*INDIRECT(ADDRESS(ROW(),COLUMN()-1,4))</f>
        <v>9000</v>
      </c>
      <c r="G1973" s="5"/>
      <c r="H1973" s="5"/>
      <c r="I1973" s="5"/>
      <c r="J1973" s="5"/>
    </row>
    <row r="1974" spans="1:10" ht="14.1" customHeight="1" x14ac:dyDescent="0.2">
      <c r="A1974" s="5"/>
      <c r="B1974" s="5"/>
      <c r="C1974" s="5"/>
      <c r="D1974" s="5"/>
      <c r="E1974" s="68" t="s">
        <v>12550</v>
      </c>
      <c r="F1974" s="69">
        <f ca="1">SUM(Table3124[MONTO TOTAL ESTIMADO])</f>
        <v>27380</v>
      </c>
      <c r="G1974" s="5"/>
      <c r="H1974" s="5" t="str">
        <f>C1964</f>
        <v>Servicios</v>
      </c>
      <c r="I1974" s="5" t="str">
        <f>E1964</f>
        <v>Sí</v>
      </c>
      <c r="J1974" s="5" t="str">
        <f>D1964</f>
        <v>Compras por debajo del Umbral</v>
      </c>
    </row>
    <row r="1975" spans="1:10" ht="14.1" customHeight="1" thickBot="1" x14ac:dyDescent="0.3"/>
    <row r="1976" spans="1:10" ht="33.75" customHeight="1" thickBot="1" x14ac:dyDescent="0.25">
      <c r="A1976" s="59" t="s">
        <v>16382</v>
      </c>
      <c r="B1976" s="59" t="s">
        <v>161</v>
      </c>
      <c r="C1976" s="59" t="s">
        <v>11724</v>
      </c>
      <c r="D1976" s="59" t="s">
        <v>14378</v>
      </c>
      <c r="E1976" s="59" t="s">
        <v>10962</v>
      </c>
      <c r="F1976" s="59" t="s">
        <v>11095</v>
      </c>
      <c r="G1976" s="5"/>
      <c r="H1976" s="5"/>
      <c r="I1976" s="5"/>
      <c r="J1976" s="5"/>
    </row>
    <row r="1977" spans="1:10" ht="13.5" customHeight="1" thickBot="1" x14ac:dyDescent="0.25">
      <c r="A1977" s="77" t="s">
        <v>18896</v>
      </c>
      <c r="B1977" s="77" t="s">
        <v>18897</v>
      </c>
      <c r="C1977" s="61" t="s">
        <v>6798</v>
      </c>
      <c r="D1977" s="61" t="s">
        <v>10171</v>
      </c>
      <c r="E1977" s="61" t="s">
        <v>8854</v>
      </c>
      <c r="F1977" s="61"/>
      <c r="G1977" s="5"/>
      <c r="H1977" s="5"/>
      <c r="I1977" s="5"/>
      <c r="J1977" s="5"/>
    </row>
    <row r="1978" spans="1:10" ht="14.1" customHeight="1" thickBot="1" x14ac:dyDescent="0.25">
      <c r="A1978" s="82" t="s">
        <v>14828</v>
      </c>
      <c r="B1978" s="62" t="s">
        <v>8528</v>
      </c>
      <c r="C1978" s="71">
        <v>44105</v>
      </c>
      <c r="D1978" s="82" t="s">
        <v>9385</v>
      </c>
      <c r="E1978" s="62" t="s">
        <v>13093</v>
      </c>
      <c r="F1978" s="61" t="s">
        <v>3080</v>
      </c>
      <c r="G1978" s="5"/>
      <c r="H1978" s="5"/>
      <c r="I1978" s="5"/>
      <c r="J1978" s="5"/>
    </row>
    <row r="1979" spans="1:10" ht="14.1" customHeight="1" thickBot="1" x14ac:dyDescent="0.25">
      <c r="A1979" s="83"/>
      <c r="B1979" s="62" t="s">
        <v>1786</v>
      </c>
      <c r="C1979" s="60">
        <f>IF(C1978="","",IF(AND(MONTH(C1978)&gt;=1,MONTH(C1978)&lt;=3),1,IF(AND(MONTH(C1978)&gt;=4,MONTH(C1978)&lt;=6),2,IF(AND(MONTH(C1978)&gt;=7,MONTH(C1978)&lt;=9),3,4))))</f>
        <v>4</v>
      </c>
      <c r="D1979" s="83"/>
      <c r="E1979" s="62" t="s">
        <v>2417</v>
      </c>
      <c r="F1979" s="61" t="s">
        <v>11112</v>
      </c>
      <c r="G1979" s="5"/>
      <c r="H1979" s="5"/>
      <c r="I1979" s="5"/>
      <c r="J1979" s="5"/>
    </row>
    <row r="1980" spans="1:10" ht="14.1" customHeight="1" thickBot="1" x14ac:dyDescent="0.25">
      <c r="A1980" s="83"/>
      <c r="B1980" s="62" t="s">
        <v>12942</v>
      </c>
      <c r="C1980" s="71">
        <v>44196</v>
      </c>
      <c r="D1980" s="83"/>
      <c r="E1980" s="62" t="s">
        <v>3073</v>
      </c>
      <c r="F1980" s="61" t="s">
        <v>11112</v>
      </c>
      <c r="G1980" s="5"/>
      <c r="H1980" s="5"/>
      <c r="I1980" s="5"/>
      <c r="J1980" s="5"/>
    </row>
    <row r="1981" spans="1:10" ht="14.1" customHeight="1" thickBot="1" x14ac:dyDescent="0.25">
      <c r="A1981" s="83"/>
      <c r="B1981" s="62" t="s">
        <v>1786</v>
      </c>
      <c r="C1981" s="60">
        <f>IF(C1980="","",IF(AND(MONTH(C1980)&gt;=1,MONTH(C1980)&lt;=3),1,IF(AND(MONTH(C1980)&gt;=4,MONTH(C1980)&lt;=6),2,IF(AND(MONTH(C1980)&gt;=7,MONTH(C1980)&lt;=9),3,4))))</f>
        <v>4</v>
      </c>
      <c r="D1981" s="83"/>
      <c r="E1981" s="62" t="s">
        <v>13192</v>
      </c>
      <c r="F1981" s="61" t="s">
        <v>11112</v>
      </c>
      <c r="G1981" s="5"/>
      <c r="H1981" s="5"/>
      <c r="I1981" s="5"/>
      <c r="J1981" s="5"/>
    </row>
    <row r="1982" spans="1:10" ht="14.1" customHeight="1" thickBot="1" x14ac:dyDescent="0.25">
      <c r="A1982" s="5"/>
      <c r="B1982" s="5"/>
      <c r="C1982" s="5"/>
      <c r="D1982" s="5"/>
      <c r="E1982" s="5"/>
      <c r="F1982" s="5"/>
      <c r="G1982" s="5"/>
      <c r="H1982" s="5"/>
      <c r="I1982" s="5"/>
      <c r="J1982" s="5"/>
    </row>
    <row r="1983" spans="1:10" ht="14.1" customHeight="1" thickBot="1" x14ac:dyDescent="0.25">
      <c r="A1983" s="67" t="s">
        <v>15735</v>
      </c>
      <c r="B1983" s="67" t="s">
        <v>16146</v>
      </c>
      <c r="C1983" s="67" t="s">
        <v>15641</v>
      </c>
      <c r="D1983" s="67" t="s">
        <v>15251</v>
      </c>
      <c r="E1983" s="67" t="s">
        <v>6932</v>
      </c>
      <c r="F1983" s="67" t="s">
        <v>15280</v>
      </c>
      <c r="G1983" s="5"/>
      <c r="H1983" s="5"/>
      <c r="I1983" s="5"/>
      <c r="J1983" s="5"/>
    </row>
    <row r="1984" spans="1:10" ht="13.5" customHeight="1" x14ac:dyDescent="0.2">
      <c r="A1984" s="78">
        <v>50192701</v>
      </c>
      <c r="B1984" s="64" t="str">
        <f ca="1">IFERROR(INDEX(UNSPSCDes,MATCH(INDIRECT(ADDRESS(ROW(),COLUMN()-1,4)),UNSPSCCode,0)),"")</f>
        <v>Comidas combinadas frescas</v>
      </c>
      <c r="C1984" s="63" t="s">
        <v>1449</v>
      </c>
      <c r="D1984" s="63">
        <v>60</v>
      </c>
      <c r="E1984" s="66">
        <v>150</v>
      </c>
      <c r="F1984" s="65">
        <f ca="1">INDIRECT(ADDRESS(ROW(),COLUMN()-2,4))*INDIRECT(ADDRESS(ROW(),COLUMN()-1,4))</f>
        <v>9000</v>
      </c>
      <c r="G1984" s="5"/>
      <c r="H1984" s="5"/>
      <c r="I1984" s="5"/>
      <c r="J1984" s="5"/>
    </row>
    <row r="1985" spans="1:10" ht="13.5" customHeight="1" x14ac:dyDescent="0.2">
      <c r="A1985" s="78">
        <v>50192803</v>
      </c>
      <c r="B1985" s="64" t="str">
        <f ca="1">IFERROR(INDEX(UNSPSCDes,MATCH(INDIRECT(ADDRESS(ROW(),COLUMN()-1,4)),UNSPSCCode,0)),"")</f>
        <v>Pasteles de sal de repisa</v>
      </c>
      <c r="C1985" s="63" t="s">
        <v>1449</v>
      </c>
      <c r="D1985" s="63">
        <v>58</v>
      </c>
      <c r="E1985" s="66">
        <v>110</v>
      </c>
      <c r="F1985" s="65">
        <f ca="1">INDIRECT(ADDRESS(ROW(),COLUMN()-2,4))*INDIRECT(ADDRESS(ROW(),COLUMN()-1,4))</f>
        <v>6380</v>
      </c>
      <c r="G1985" s="5"/>
      <c r="H1985" s="5"/>
      <c r="I1985" s="5"/>
      <c r="J1985" s="5"/>
    </row>
    <row r="1986" spans="1:10" ht="13.5" customHeight="1" x14ac:dyDescent="0.2">
      <c r="A1986" s="78">
        <v>50192501</v>
      </c>
      <c r="B1986" s="64" t="str">
        <f ca="1">IFERROR(INDEX(UNSPSCDes,MATCH(INDIRECT(ADDRESS(ROW(),COLUMN()-1,4)),UNSPSCCode,0)),"")</f>
        <v>Emparedados frescos</v>
      </c>
      <c r="C1986" s="63" t="s">
        <v>1449</v>
      </c>
      <c r="D1986" s="63">
        <v>60</v>
      </c>
      <c r="E1986" s="66">
        <v>150</v>
      </c>
      <c r="F1986" s="65">
        <f ca="1">INDIRECT(ADDRESS(ROW(),COLUMN()-2,4))*INDIRECT(ADDRESS(ROW(),COLUMN()-1,4))</f>
        <v>9000</v>
      </c>
      <c r="G1986" s="5"/>
      <c r="H1986" s="5"/>
      <c r="I1986" s="5"/>
      <c r="J1986" s="5"/>
    </row>
    <row r="1987" spans="1:10" ht="14.1" customHeight="1" x14ac:dyDescent="0.2">
      <c r="A1987" s="5"/>
      <c r="B1987" s="5"/>
      <c r="C1987" s="5"/>
      <c r="D1987" s="5"/>
      <c r="E1987" s="68" t="s">
        <v>12550</v>
      </c>
      <c r="F1987" s="69">
        <f ca="1">SUM(Table3125[MONTO TOTAL ESTIMADO])</f>
        <v>24380</v>
      </c>
      <c r="G1987" s="5"/>
      <c r="H1987" s="5" t="str">
        <f>C1977</f>
        <v>Servicios</v>
      </c>
      <c r="I1987" s="5" t="str">
        <f>E1977</f>
        <v>Sí</v>
      </c>
      <c r="J1987" s="5" t="str">
        <f>D1977</f>
        <v>Compras por debajo del Umbral</v>
      </c>
    </row>
    <row r="1988" spans="1:10" ht="14.1" customHeight="1" thickBot="1" x14ac:dyDescent="0.3"/>
    <row r="1989" spans="1:10" ht="33.75" customHeight="1" thickBot="1" x14ac:dyDescent="0.25">
      <c r="A1989" s="59" t="s">
        <v>16382</v>
      </c>
      <c r="B1989" s="59" t="s">
        <v>161</v>
      </c>
      <c r="C1989" s="59" t="s">
        <v>11724</v>
      </c>
      <c r="D1989" s="59" t="s">
        <v>14378</v>
      </c>
      <c r="E1989" s="59" t="s">
        <v>10962</v>
      </c>
      <c r="F1989" s="59" t="s">
        <v>11095</v>
      </c>
      <c r="G1989" s="5"/>
      <c r="H1989" s="5"/>
      <c r="I1989" s="5"/>
      <c r="J1989" s="5"/>
    </row>
    <row r="1990" spans="1:10" ht="13.5" customHeight="1" thickBot="1" x14ac:dyDescent="0.25">
      <c r="A1990" s="77" t="s">
        <v>18898</v>
      </c>
      <c r="B1990" s="77" t="s">
        <v>18898</v>
      </c>
      <c r="C1990" s="61" t="s">
        <v>17797</v>
      </c>
      <c r="D1990" s="61" t="s">
        <v>10171</v>
      </c>
      <c r="E1990" s="61" t="s">
        <v>17853</v>
      </c>
      <c r="F1990" s="61"/>
      <c r="G1990" s="5"/>
      <c r="H1990" s="5"/>
      <c r="I1990" s="5"/>
      <c r="J1990" s="5"/>
    </row>
    <row r="1991" spans="1:10" ht="14.1" customHeight="1" thickBot="1" x14ac:dyDescent="0.25">
      <c r="A1991" s="82" t="s">
        <v>14828</v>
      </c>
      <c r="B1991" s="62" t="s">
        <v>8528</v>
      </c>
      <c r="C1991" s="71">
        <v>43831</v>
      </c>
      <c r="D1991" s="82" t="s">
        <v>9385</v>
      </c>
      <c r="E1991" s="62" t="s">
        <v>13093</v>
      </c>
      <c r="F1991" s="61" t="s">
        <v>3080</v>
      </c>
      <c r="G1991" s="5"/>
      <c r="H1991" s="5"/>
      <c r="I1991" s="5"/>
      <c r="J1991" s="5"/>
    </row>
    <row r="1992" spans="1:10" ht="14.1" customHeight="1" thickBot="1" x14ac:dyDescent="0.25">
      <c r="A1992" s="83"/>
      <c r="B1992" s="62" t="s">
        <v>1786</v>
      </c>
      <c r="C1992" s="60">
        <f>IF(C1991="","",IF(AND(MONTH(C1991)&gt;=1,MONTH(C1991)&lt;=3),1,IF(AND(MONTH(C1991)&gt;=4,MONTH(C1991)&lt;=6),2,IF(AND(MONTH(C1991)&gt;=7,MONTH(C1991)&lt;=9),3,4))))</f>
        <v>1</v>
      </c>
      <c r="D1992" s="83"/>
      <c r="E1992" s="62" t="s">
        <v>2417</v>
      </c>
      <c r="F1992" s="61" t="s">
        <v>11112</v>
      </c>
      <c r="G1992" s="5"/>
      <c r="H1992" s="5"/>
      <c r="I1992" s="5"/>
      <c r="J1992" s="5"/>
    </row>
    <row r="1993" spans="1:10" ht="14.1" customHeight="1" thickBot="1" x14ac:dyDescent="0.25">
      <c r="A1993" s="83"/>
      <c r="B1993" s="62" t="s">
        <v>12942</v>
      </c>
      <c r="C1993" s="71">
        <v>43921</v>
      </c>
      <c r="D1993" s="83"/>
      <c r="E1993" s="62" t="s">
        <v>3073</v>
      </c>
      <c r="F1993" s="61" t="s">
        <v>11112</v>
      </c>
      <c r="G1993" s="5"/>
      <c r="H1993" s="5"/>
      <c r="I1993" s="5"/>
      <c r="J1993" s="5"/>
    </row>
    <row r="1994" spans="1:10" ht="14.1" customHeight="1" thickBot="1" x14ac:dyDescent="0.25">
      <c r="A1994" s="83"/>
      <c r="B1994" s="62" t="s">
        <v>1786</v>
      </c>
      <c r="C1994" s="60">
        <f>IF(C1993="","",IF(AND(MONTH(C1993)&gt;=1,MONTH(C1993)&lt;=3),1,IF(AND(MONTH(C1993)&gt;=4,MONTH(C1993)&lt;=6),2,IF(AND(MONTH(C1993)&gt;=7,MONTH(C1993)&lt;=9),3,4))))</f>
        <v>1</v>
      </c>
      <c r="D1994" s="83"/>
      <c r="E1994" s="62" t="s">
        <v>13192</v>
      </c>
      <c r="F1994" s="61" t="s">
        <v>11112</v>
      </c>
      <c r="G1994" s="5"/>
      <c r="H1994" s="5"/>
      <c r="I1994" s="5"/>
      <c r="J1994" s="5"/>
    </row>
    <row r="1995" spans="1:10" ht="14.1" customHeight="1" thickBot="1" x14ac:dyDescent="0.25">
      <c r="A1995" s="5"/>
      <c r="B1995" s="5"/>
      <c r="C1995" s="5"/>
      <c r="D1995" s="5"/>
      <c r="E1995" s="5"/>
      <c r="F1995" s="5"/>
      <c r="G1995" s="5"/>
      <c r="H1995" s="5"/>
      <c r="I1995" s="5"/>
      <c r="J1995" s="5"/>
    </row>
    <row r="1996" spans="1:10" ht="14.1" customHeight="1" thickBot="1" x14ac:dyDescent="0.25">
      <c r="A1996" s="67" t="s">
        <v>15735</v>
      </c>
      <c r="B1996" s="67" t="s">
        <v>16146</v>
      </c>
      <c r="C1996" s="67" t="s">
        <v>15641</v>
      </c>
      <c r="D1996" s="67" t="s">
        <v>15251</v>
      </c>
      <c r="E1996" s="67" t="s">
        <v>6932</v>
      </c>
      <c r="F1996" s="67" t="s">
        <v>15280</v>
      </c>
      <c r="G1996" s="5"/>
      <c r="H1996" s="5"/>
      <c r="I1996" s="5"/>
      <c r="J1996" s="5"/>
    </row>
    <row r="1997" spans="1:10" ht="13.5" customHeight="1" x14ac:dyDescent="0.2">
      <c r="A1997" s="78">
        <v>30102003</v>
      </c>
      <c r="B1997" s="64" t="str">
        <f ca="1">IFERROR(INDEX(UNSPSCDes,MATCH(INDIRECT(ADDRESS(ROW(),COLUMN()-1,4)),UNSPSCCode,0)),"")</f>
        <v>Lámina de hierro</v>
      </c>
      <c r="C1997" s="63" t="s">
        <v>1449</v>
      </c>
      <c r="D1997" s="63">
        <v>5</v>
      </c>
      <c r="E1997" s="66">
        <v>1250</v>
      </c>
      <c r="F1997" s="65">
        <f ca="1">INDIRECT(ADDRESS(ROW(),COLUMN()-2,4))*INDIRECT(ADDRESS(ROW(),COLUMN()-1,4))</f>
        <v>6250</v>
      </c>
      <c r="G1997" s="5"/>
      <c r="H1997" s="5"/>
      <c r="I1997" s="5"/>
      <c r="J1997" s="5"/>
    </row>
    <row r="1998" spans="1:10" ht="13.5" customHeight="1" x14ac:dyDescent="0.2">
      <c r="A1998" s="78">
        <v>30102004</v>
      </c>
      <c r="B1998" s="64" t="str">
        <f ca="1">IFERROR(INDEX(UNSPSCDes,MATCH(INDIRECT(ADDRESS(ROW(),COLUMN()-1,4)),UNSPSCCode,0)),"")</f>
        <v>Lámina de acero</v>
      </c>
      <c r="C1998" s="63" t="s">
        <v>1449</v>
      </c>
      <c r="D1998" s="63">
        <v>5</v>
      </c>
      <c r="E1998" s="66">
        <v>1250</v>
      </c>
      <c r="F1998" s="65">
        <f ca="1">INDIRECT(ADDRESS(ROW(),COLUMN()-2,4))*INDIRECT(ADDRESS(ROW(),COLUMN()-1,4))</f>
        <v>6250</v>
      </c>
      <c r="G1998" s="5"/>
      <c r="H1998" s="5"/>
      <c r="I1998" s="5"/>
      <c r="J1998" s="5"/>
    </row>
    <row r="1999" spans="1:10" ht="14.1" customHeight="1" x14ac:dyDescent="0.2">
      <c r="A1999" s="5"/>
      <c r="B1999" s="5"/>
      <c r="C1999" s="5"/>
      <c r="D1999" s="5"/>
      <c r="E1999" s="68" t="s">
        <v>12550</v>
      </c>
      <c r="F1999" s="69">
        <f ca="1">SUM(Table3126[MONTO TOTAL ESTIMADO])</f>
        <v>12500</v>
      </c>
      <c r="G1999" s="5"/>
      <c r="H1999" s="5" t="str">
        <f>C1990</f>
        <v>Bienes</v>
      </c>
      <c r="I1999" s="5" t="str">
        <f>E1990</f>
        <v>No</v>
      </c>
      <c r="J1999" s="5" t="str">
        <f>D1990</f>
        <v>Compras por debajo del Umbral</v>
      </c>
    </row>
    <row r="2000" spans="1:10" ht="14.1" customHeight="1" thickBot="1" x14ac:dyDescent="0.3"/>
    <row r="2001" spans="1:10" ht="33.75" customHeight="1" thickBot="1" x14ac:dyDescent="0.25">
      <c r="A2001" s="59" t="s">
        <v>16382</v>
      </c>
      <c r="B2001" s="59" t="s">
        <v>161</v>
      </c>
      <c r="C2001" s="59" t="s">
        <v>11724</v>
      </c>
      <c r="D2001" s="59" t="s">
        <v>14378</v>
      </c>
      <c r="E2001" s="59" t="s">
        <v>10962</v>
      </c>
      <c r="F2001" s="59" t="s">
        <v>11095</v>
      </c>
      <c r="G2001" s="5"/>
      <c r="H2001" s="5"/>
      <c r="I2001" s="5"/>
      <c r="J2001" s="5"/>
    </row>
    <row r="2002" spans="1:10" ht="13.5" customHeight="1" thickBot="1" x14ac:dyDescent="0.25">
      <c r="A2002" s="77" t="s">
        <v>18898</v>
      </c>
      <c r="B2002" s="77" t="s">
        <v>18898</v>
      </c>
      <c r="C2002" s="61" t="s">
        <v>17797</v>
      </c>
      <c r="D2002" s="61" t="s">
        <v>10171</v>
      </c>
      <c r="E2002" s="61" t="s">
        <v>17853</v>
      </c>
      <c r="F2002" s="61"/>
      <c r="G2002" s="5"/>
      <c r="H2002" s="5"/>
      <c r="I2002" s="5"/>
      <c r="J2002" s="5"/>
    </row>
    <row r="2003" spans="1:10" ht="14.1" customHeight="1" thickBot="1" x14ac:dyDescent="0.25">
      <c r="A2003" s="82" t="s">
        <v>14828</v>
      </c>
      <c r="B2003" s="62" t="s">
        <v>8528</v>
      </c>
      <c r="C2003" s="71">
        <v>43922</v>
      </c>
      <c r="D2003" s="82" t="s">
        <v>9385</v>
      </c>
      <c r="E2003" s="62" t="s">
        <v>13093</v>
      </c>
      <c r="F2003" s="61" t="s">
        <v>3080</v>
      </c>
      <c r="G2003" s="5"/>
      <c r="H2003" s="5"/>
      <c r="I2003" s="5"/>
      <c r="J2003" s="5"/>
    </row>
    <row r="2004" spans="1:10" ht="14.1" customHeight="1" thickBot="1" x14ac:dyDescent="0.25">
      <c r="A2004" s="83"/>
      <c r="B2004" s="62" t="s">
        <v>1786</v>
      </c>
      <c r="C2004" s="60">
        <f>IF(C2003="","",IF(AND(MONTH(C2003)&gt;=1,MONTH(C2003)&lt;=3),1,IF(AND(MONTH(C2003)&gt;=4,MONTH(C2003)&lt;=6),2,IF(AND(MONTH(C2003)&gt;=7,MONTH(C2003)&lt;=9),3,4))))</f>
        <v>2</v>
      </c>
      <c r="D2004" s="83"/>
      <c r="E2004" s="62" t="s">
        <v>2417</v>
      </c>
      <c r="F2004" s="61" t="s">
        <v>11112</v>
      </c>
      <c r="G2004" s="5"/>
      <c r="H2004" s="5"/>
      <c r="I2004" s="5"/>
      <c r="J2004" s="5"/>
    </row>
    <row r="2005" spans="1:10" ht="14.1" customHeight="1" thickBot="1" x14ac:dyDescent="0.25">
      <c r="A2005" s="83"/>
      <c r="B2005" s="62" t="s">
        <v>12942</v>
      </c>
      <c r="C2005" s="71">
        <v>44012</v>
      </c>
      <c r="D2005" s="83"/>
      <c r="E2005" s="62" t="s">
        <v>3073</v>
      </c>
      <c r="F2005" s="61" t="s">
        <v>11112</v>
      </c>
      <c r="G2005" s="5"/>
      <c r="H2005" s="5"/>
      <c r="I2005" s="5"/>
      <c r="J2005" s="5"/>
    </row>
    <row r="2006" spans="1:10" ht="14.1" customHeight="1" thickBot="1" x14ac:dyDescent="0.25">
      <c r="A2006" s="83"/>
      <c r="B2006" s="62" t="s">
        <v>1786</v>
      </c>
      <c r="C2006" s="60">
        <f>IF(C2005="","",IF(AND(MONTH(C2005)&gt;=1,MONTH(C2005)&lt;=3),1,IF(AND(MONTH(C2005)&gt;=4,MONTH(C2005)&lt;=6),2,IF(AND(MONTH(C2005)&gt;=7,MONTH(C2005)&lt;=9),3,4))))</f>
        <v>2</v>
      </c>
      <c r="D2006" s="83"/>
      <c r="E2006" s="62" t="s">
        <v>13192</v>
      </c>
      <c r="F2006" s="61" t="s">
        <v>11112</v>
      </c>
      <c r="G2006" s="5"/>
      <c r="H2006" s="5"/>
      <c r="I2006" s="5"/>
      <c r="J2006" s="5"/>
    </row>
    <row r="2007" spans="1:10" ht="14.1" customHeight="1" thickBot="1" x14ac:dyDescent="0.25">
      <c r="A2007" s="5"/>
      <c r="B2007" s="5"/>
      <c r="C2007" s="5"/>
      <c r="D2007" s="5"/>
      <c r="E2007" s="5"/>
      <c r="F2007" s="5"/>
      <c r="G2007" s="5"/>
      <c r="H2007" s="5"/>
      <c r="I2007" s="5"/>
      <c r="J2007" s="5"/>
    </row>
    <row r="2008" spans="1:10" ht="14.1" customHeight="1" thickBot="1" x14ac:dyDescent="0.25">
      <c r="A2008" s="67" t="s">
        <v>15735</v>
      </c>
      <c r="B2008" s="67" t="s">
        <v>16146</v>
      </c>
      <c r="C2008" s="67" t="s">
        <v>15641</v>
      </c>
      <c r="D2008" s="67" t="s">
        <v>15251</v>
      </c>
      <c r="E2008" s="67" t="s">
        <v>6932</v>
      </c>
      <c r="F2008" s="67" t="s">
        <v>15280</v>
      </c>
      <c r="G2008" s="5"/>
      <c r="H2008" s="5"/>
      <c r="I2008" s="5"/>
      <c r="J2008" s="5"/>
    </row>
    <row r="2009" spans="1:10" ht="13.5" customHeight="1" x14ac:dyDescent="0.2">
      <c r="A2009" s="78">
        <v>30102003</v>
      </c>
      <c r="B2009" s="64" t="str">
        <f ca="1">IFERROR(INDEX(UNSPSCDes,MATCH(INDIRECT(ADDRESS(ROW(),COLUMN()-1,4)),UNSPSCCode,0)),"")</f>
        <v>Lámina de hierro</v>
      </c>
      <c r="C2009" s="63" t="s">
        <v>1449</v>
      </c>
      <c r="D2009" s="63">
        <v>5</v>
      </c>
      <c r="E2009" s="66">
        <v>1250</v>
      </c>
      <c r="F2009" s="65">
        <f ca="1">INDIRECT(ADDRESS(ROW(),COLUMN()-2,4))*INDIRECT(ADDRESS(ROW(),COLUMN()-1,4))</f>
        <v>6250</v>
      </c>
      <c r="G2009" s="5"/>
      <c r="H2009" s="5"/>
      <c r="I2009" s="5"/>
      <c r="J2009" s="5"/>
    </row>
    <row r="2010" spans="1:10" ht="13.5" customHeight="1" x14ac:dyDescent="0.2">
      <c r="A2010" s="78">
        <v>30102004</v>
      </c>
      <c r="B2010" s="64" t="str">
        <f ca="1">IFERROR(INDEX(UNSPSCDes,MATCH(INDIRECT(ADDRESS(ROW(),COLUMN()-1,4)),UNSPSCCode,0)),"")</f>
        <v>Lámina de acero</v>
      </c>
      <c r="C2010" s="63" t="s">
        <v>1449</v>
      </c>
      <c r="D2010" s="63">
        <v>5</v>
      </c>
      <c r="E2010" s="66">
        <v>1250</v>
      </c>
      <c r="F2010" s="65">
        <f ca="1">INDIRECT(ADDRESS(ROW(),COLUMN()-2,4))*INDIRECT(ADDRESS(ROW(),COLUMN()-1,4))</f>
        <v>6250</v>
      </c>
      <c r="G2010" s="5"/>
      <c r="H2010" s="5"/>
      <c r="I2010" s="5"/>
      <c r="J2010" s="5"/>
    </row>
    <row r="2011" spans="1:10" ht="14.1" customHeight="1" x14ac:dyDescent="0.2">
      <c r="A2011" s="5"/>
      <c r="B2011" s="5"/>
      <c r="C2011" s="5"/>
      <c r="D2011" s="5"/>
      <c r="E2011" s="68" t="s">
        <v>12550</v>
      </c>
      <c r="F2011" s="69">
        <f ca="1">SUM(Table3127[MONTO TOTAL ESTIMADO])</f>
        <v>12500</v>
      </c>
      <c r="G2011" s="5"/>
      <c r="H2011" s="5" t="str">
        <f>C2002</f>
        <v>Bienes</v>
      </c>
      <c r="I2011" s="5" t="str">
        <f>E2002</f>
        <v>No</v>
      </c>
      <c r="J2011" s="5" t="str">
        <f>D2002</f>
        <v>Compras por debajo del Umbral</v>
      </c>
    </row>
    <row r="2012" spans="1:10" ht="14.1" customHeight="1" thickBot="1" x14ac:dyDescent="0.3"/>
    <row r="2013" spans="1:10" ht="33.75" customHeight="1" thickBot="1" x14ac:dyDescent="0.25">
      <c r="A2013" s="59" t="s">
        <v>16382</v>
      </c>
      <c r="B2013" s="59" t="s">
        <v>161</v>
      </c>
      <c r="C2013" s="59" t="s">
        <v>11724</v>
      </c>
      <c r="D2013" s="59" t="s">
        <v>14378</v>
      </c>
      <c r="E2013" s="59" t="s">
        <v>10962</v>
      </c>
      <c r="F2013" s="59" t="s">
        <v>11095</v>
      </c>
      <c r="G2013" s="5"/>
      <c r="H2013" s="5"/>
      <c r="I2013" s="5"/>
      <c r="J2013" s="5"/>
    </row>
    <row r="2014" spans="1:10" ht="13.5" customHeight="1" thickBot="1" x14ac:dyDescent="0.25">
      <c r="A2014" s="77" t="s">
        <v>18898</v>
      </c>
      <c r="B2014" s="77" t="s">
        <v>18898</v>
      </c>
      <c r="C2014" s="61" t="s">
        <v>17797</v>
      </c>
      <c r="D2014" s="61" t="s">
        <v>10171</v>
      </c>
      <c r="E2014" s="61" t="s">
        <v>17853</v>
      </c>
      <c r="F2014" s="61"/>
      <c r="G2014" s="5"/>
      <c r="H2014" s="5"/>
      <c r="I2014" s="5"/>
      <c r="J2014" s="5"/>
    </row>
    <row r="2015" spans="1:10" ht="14.1" customHeight="1" thickBot="1" x14ac:dyDescent="0.25">
      <c r="A2015" s="82" t="s">
        <v>14828</v>
      </c>
      <c r="B2015" s="62" t="s">
        <v>8528</v>
      </c>
      <c r="C2015" s="71">
        <v>44013</v>
      </c>
      <c r="D2015" s="82" t="s">
        <v>9385</v>
      </c>
      <c r="E2015" s="62" t="s">
        <v>13093</v>
      </c>
      <c r="F2015" s="61" t="s">
        <v>3080</v>
      </c>
      <c r="G2015" s="5"/>
      <c r="H2015" s="5"/>
      <c r="I2015" s="5"/>
      <c r="J2015" s="5"/>
    </row>
    <row r="2016" spans="1:10" ht="14.1" customHeight="1" thickBot="1" x14ac:dyDescent="0.25">
      <c r="A2016" s="83"/>
      <c r="B2016" s="62" t="s">
        <v>1786</v>
      </c>
      <c r="C2016" s="60">
        <f>IF(C2015="","",IF(AND(MONTH(C2015)&gt;=1,MONTH(C2015)&lt;=3),1,IF(AND(MONTH(C2015)&gt;=4,MONTH(C2015)&lt;=6),2,IF(AND(MONTH(C2015)&gt;=7,MONTH(C2015)&lt;=9),3,4))))</f>
        <v>3</v>
      </c>
      <c r="D2016" s="83"/>
      <c r="E2016" s="62" t="s">
        <v>2417</v>
      </c>
      <c r="F2016" s="61" t="s">
        <v>11112</v>
      </c>
      <c r="G2016" s="5"/>
      <c r="H2016" s="5"/>
      <c r="I2016" s="5"/>
      <c r="J2016" s="5"/>
    </row>
    <row r="2017" spans="1:10" ht="14.1" customHeight="1" thickBot="1" x14ac:dyDescent="0.25">
      <c r="A2017" s="83"/>
      <c r="B2017" s="62" t="s">
        <v>12942</v>
      </c>
      <c r="C2017" s="71">
        <v>44104</v>
      </c>
      <c r="D2017" s="83"/>
      <c r="E2017" s="62" t="s">
        <v>3073</v>
      </c>
      <c r="F2017" s="61" t="s">
        <v>11112</v>
      </c>
      <c r="G2017" s="5"/>
      <c r="H2017" s="5"/>
      <c r="I2017" s="5"/>
      <c r="J2017" s="5"/>
    </row>
    <row r="2018" spans="1:10" ht="14.1" customHeight="1" thickBot="1" x14ac:dyDescent="0.25">
      <c r="A2018" s="83"/>
      <c r="B2018" s="62" t="s">
        <v>1786</v>
      </c>
      <c r="C2018" s="60">
        <f>IF(C2017="","",IF(AND(MONTH(C2017)&gt;=1,MONTH(C2017)&lt;=3),1,IF(AND(MONTH(C2017)&gt;=4,MONTH(C2017)&lt;=6),2,IF(AND(MONTH(C2017)&gt;=7,MONTH(C2017)&lt;=9),3,4))))</f>
        <v>3</v>
      </c>
      <c r="D2018" s="83"/>
      <c r="E2018" s="62" t="s">
        <v>13192</v>
      </c>
      <c r="F2018" s="61" t="s">
        <v>11112</v>
      </c>
      <c r="G2018" s="5"/>
      <c r="H2018" s="5"/>
      <c r="I2018" s="5"/>
      <c r="J2018" s="5"/>
    </row>
    <row r="2019" spans="1:10" ht="14.1" customHeight="1" thickBot="1" x14ac:dyDescent="0.25">
      <c r="A2019" s="5"/>
      <c r="B2019" s="5"/>
      <c r="C2019" s="5"/>
      <c r="D2019" s="5"/>
      <c r="E2019" s="5"/>
      <c r="F2019" s="5"/>
      <c r="G2019" s="5"/>
      <c r="H2019" s="5"/>
      <c r="I2019" s="5"/>
      <c r="J2019" s="5"/>
    </row>
    <row r="2020" spans="1:10" ht="14.1" customHeight="1" thickBot="1" x14ac:dyDescent="0.25">
      <c r="A2020" s="67" t="s">
        <v>15735</v>
      </c>
      <c r="B2020" s="67" t="s">
        <v>16146</v>
      </c>
      <c r="C2020" s="67" t="s">
        <v>15641</v>
      </c>
      <c r="D2020" s="67" t="s">
        <v>15251</v>
      </c>
      <c r="E2020" s="67" t="s">
        <v>6932</v>
      </c>
      <c r="F2020" s="67" t="s">
        <v>15280</v>
      </c>
      <c r="G2020" s="5"/>
      <c r="H2020" s="5"/>
      <c r="I2020" s="5"/>
      <c r="J2020" s="5"/>
    </row>
    <row r="2021" spans="1:10" ht="13.5" customHeight="1" x14ac:dyDescent="0.2">
      <c r="A2021" s="78">
        <v>30102003</v>
      </c>
      <c r="B2021" s="64" t="str">
        <f ca="1">IFERROR(INDEX(UNSPSCDes,MATCH(INDIRECT(ADDRESS(ROW(),COLUMN()-1,4)),UNSPSCCode,0)),"")</f>
        <v>Lámina de hierro</v>
      </c>
      <c r="C2021" s="63" t="s">
        <v>1449</v>
      </c>
      <c r="D2021" s="63">
        <v>5</v>
      </c>
      <c r="E2021" s="66">
        <v>1250</v>
      </c>
      <c r="F2021" s="65">
        <f ca="1">INDIRECT(ADDRESS(ROW(),COLUMN()-2,4))*INDIRECT(ADDRESS(ROW(),COLUMN()-1,4))</f>
        <v>6250</v>
      </c>
      <c r="G2021" s="5"/>
      <c r="H2021" s="5"/>
      <c r="I2021" s="5"/>
      <c r="J2021" s="5"/>
    </row>
    <row r="2022" spans="1:10" ht="13.5" customHeight="1" x14ac:dyDescent="0.2">
      <c r="A2022" s="78">
        <v>30102004</v>
      </c>
      <c r="B2022" s="64" t="str">
        <f ca="1">IFERROR(INDEX(UNSPSCDes,MATCH(INDIRECT(ADDRESS(ROW(),COLUMN()-1,4)),UNSPSCCode,0)),"")</f>
        <v>Lámina de acero</v>
      </c>
      <c r="C2022" s="63" t="s">
        <v>1449</v>
      </c>
      <c r="D2022" s="63">
        <v>5</v>
      </c>
      <c r="E2022" s="66">
        <v>1250</v>
      </c>
      <c r="F2022" s="65">
        <f ca="1">INDIRECT(ADDRESS(ROW(),COLUMN()-2,4))*INDIRECT(ADDRESS(ROW(),COLUMN()-1,4))</f>
        <v>6250</v>
      </c>
      <c r="G2022" s="5"/>
      <c r="H2022" s="5"/>
      <c r="I2022" s="5"/>
      <c r="J2022" s="5"/>
    </row>
    <row r="2023" spans="1:10" ht="14.1" customHeight="1" x14ac:dyDescent="0.2">
      <c r="A2023" s="5"/>
      <c r="B2023" s="5"/>
      <c r="C2023" s="5"/>
      <c r="D2023" s="5"/>
      <c r="E2023" s="68" t="s">
        <v>12550</v>
      </c>
      <c r="F2023" s="69">
        <f ca="1">SUM(Table3128[MONTO TOTAL ESTIMADO])</f>
        <v>12500</v>
      </c>
      <c r="G2023" s="5"/>
      <c r="H2023" s="5" t="str">
        <f>C2014</f>
        <v>Bienes</v>
      </c>
      <c r="I2023" s="5" t="str">
        <f>E2014</f>
        <v>No</v>
      </c>
      <c r="J2023" s="5" t="str">
        <f>D2014</f>
        <v>Compras por debajo del Umbral</v>
      </c>
    </row>
    <row r="2024" spans="1:10" ht="14.1" customHeight="1" thickBot="1" x14ac:dyDescent="0.3"/>
    <row r="2025" spans="1:10" ht="33.75" customHeight="1" thickBot="1" x14ac:dyDescent="0.25">
      <c r="A2025" s="59" t="s">
        <v>16382</v>
      </c>
      <c r="B2025" s="59" t="s">
        <v>161</v>
      </c>
      <c r="C2025" s="59" t="s">
        <v>11724</v>
      </c>
      <c r="D2025" s="59" t="s">
        <v>14378</v>
      </c>
      <c r="E2025" s="59" t="s">
        <v>10962</v>
      </c>
      <c r="F2025" s="59" t="s">
        <v>11095</v>
      </c>
      <c r="G2025" s="5"/>
      <c r="H2025" s="5"/>
      <c r="I2025" s="5"/>
      <c r="J2025" s="5"/>
    </row>
    <row r="2026" spans="1:10" ht="13.5" customHeight="1" thickBot="1" x14ac:dyDescent="0.25">
      <c r="A2026" s="77" t="s">
        <v>18898</v>
      </c>
      <c r="B2026" s="77" t="s">
        <v>18898</v>
      </c>
      <c r="C2026" s="61" t="s">
        <v>17797</v>
      </c>
      <c r="D2026" s="61" t="s">
        <v>10171</v>
      </c>
      <c r="E2026" s="61" t="s">
        <v>17853</v>
      </c>
      <c r="F2026" s="61"/>
      <c r="G2026" s="5"/>
      <c r="H2026" s="5"/>
      <c r="I2026" s="5"/>
      <c r="J2026" s="5"/>
    </row>
    <row r="2027" spans="1:10" ht="14.1" customHeight="1" thickBot="1" x14ac:dyDescent="0.25">
      <c r="A2027" s="82" t="s">
        <v>14828</v>
      </c>
      <c r="B2027" s="62" t="s">
        <v>8528</v>
      </c>
      <c r="C2027" s="71">
        <v>44105</v>
      </c>
      <c r="D2027" s="82" t="s">
        <v>9385</v>
      </c>
      <c r="E2027" s="62" t="s">
        <v>13093</v>
      </c>
      <c r="F2027" s="61" t="s">
        <v>3080</v>
      </c>
      <c r="G2027" s="5"/>
      <c r="H2027" s="5"/>
      <c r="I2027" s="5"/>
      <c r="J2027" s="5"/>
    </row>
    <row r="2028" spans="1:10" ht="14.1" customHeight="1" thickBot="1" x14ac:dyDescent="0.25">
      <c r="A2028" s="83"/>
      <c r="B2028" s="62" t="s">
        <v>1786</v>
      </c>
      <c r="C2028" s="60">
        <f>IF(C2027="","",IF(AND(MONTH(C2027)&gt;=1,MONTH(C2027)&lt;=3),1,IF(AND(MONTH(C2027)&gt;=4,MONTH(C2027)&lt;=6),2,IF(AND(MONTH(C2027)&gt;=7,MONTH(C2027)&lt;=9),3,4))))</f>
        <v>4</v>
      </c>
      <c r="D2028" s="83"/>
      <c r="E2028" s="62" t="s">
        <v>2417</v>
      </c>
      <c r="F2028" s="61" t="s">
        <v>11112</v>
      </c>
      <c r="G2028" s="5"/>
      <c r="H2028" s="5"/>
      <c r="I2028" s="5"/>
      <c r="J2028" s="5"/>
    </row>
    <row r="2029" spans="1:10" ht="14.1" customHeight="1" thickBot="1" x14ac:dyDescent="0.25">
      <c r="A2029" s="83"/>
      <c r="B2029" s="62" t="s">
        <v>12942</v>
      </c>
      <c r="C2029" s="71">
        <v>44196</v>
      </c>
      <c r="D2029" s="83"/>
      <c r="E2029" s="62" t="s">
        <v>3073</v>
      </c>
      <c r="F2029" s="61" t="s">
        <v>11112</v>
      </c>
      <c r="G2029" s="5"/>
      <c r="H2029" s="5"/>
      <c r="I2029" s="5"/>
      <c r="J2029" s="5"/>
    </row>
    <row r="2030" spans="1:10" ht="14.1" customHeight="1" thickBot="1" x14ac:dyDescent="0.25">
      <c r="A2030" s="83"/>
      <c r="B2030" s="62" t="s">
        <v>1786</v>
      </c>
      <c r="C2030" s="60">
        <f>IF(C2029="","",IF(AND(MONTH(C2029)&gt;=1,MONTH(C2029)&lt;=3),1,IF(AND(MONTH(C2029)&gt;=4,MONTH(C2029)&lt;=6),2,IF(AND(MONTH(C2029)&gt;=7,MONTH(C2029)&lt;=9),3,4))))</f>
        <v>4</v>
      </c>
      <c r="D2030" s="83"/>
      <c r="E2030" s="62" t="s">
        <v>13192</v>
      </c>
      <c r="F2030" s="61" t="s">
        <v>11112</v>
      </c>
      <c r="G2030" s="5"/>
      <c r="H2030" s="5"/>
      <c r="I2030" s="5"/>
      <c r="J2030" s="5"/>
    </row>
    <row r="2031" spans="1:10" ht="14.1" customHeight="1" thickBot="1" x14ac:dyDescent="0.25">
      <c r="A2031" s="5"/>
      <c r="B2031" s="5"/>
      <c r="C2031" s="5"/>
      <c r="D2031" s="5"/>
      <c r="E2031" s="5"/>
      <c r="F2031" s="5"/>
      <c r="G2031" s="5"/>
      <c r="H2031" s="5"/>
      <c r="I2031" s="5"/>
      <c r="J2031" s="5"/>
    </row>
    <row r="2032" spans="1:10" ht="14.1" customHeight="1" thickBot="1" x14ac:dyDescent="0.25">
      <c r="A2032" s="67" t="s">
        <v>15735</v>
      </c>
      <c r="B2032" s="67" t="s">
        <v>16146</v>
      </c>
      <c r="C2032" s="67" t="s">
        <v>15641</v>
      </c>
      <c r="D2032" s="67" t="s">
        <v>15251</v>
      </c>
      <c r="E2032" s="67" t="s">
        <v>6932</v>
      </c>
      <c r="F2032" s="67" t="s">
        <v>15280</v>
      </c>
      <c r="G2032" s="5"/>
      <c r="H2032" s="5"/>
      <c r="I2032" s="5"/>
      <c r="J2032" s="5"/>
    </row>
    <row r="2033" spans="1:10" ht="13.5" customHeight="1" x14ac:dyDescent="0.2">
      <c r="A2033" s="78">
        <v>30102003</v>
      </c>
      <c r="B2033" s="64" t="str">
        <f ca="1">IFERROR(INDEX(UNSPSCDes,MATCH(INDIRECT(ADDRESS(ROW(),COLUMN()-1,4)),UNSPSCCode,0)),"")</f>
        <v>Lámina de hierro</v>
      </c>
      <c r="C2033" s="63" t="s">
        <v>1449</v>
      </c>
      <c r="D2033" s="63">
        <v>5</v>
      </c>
      <c r="E2033" s="66">
        <v>1250</v>
      </c>
      <c r="F2033" s="65">
        <f ca="1">INDIRECT(ADDRESS(ROW(),COLUMN()-2,4))*INDIRECT(ADDRESS(ROW(),COLUMN()-1,4))</f>
        <v>6250</v>
      </c>
      <c r="G2033" s="5"/>
      <c r="H2033" s="5"/>
      <c r="I2033" s="5"/>
      <c r="J2033" s="5"/>
    </row>
    <row r="2034" spans="1:10" ht="13.5" customHeight="1" x14ac:dyDescent="0.2">
      <c r="A2034" s="78">
        <v>30102004</v>
      </c>
      <c r="B2034" s="64" t="str">
        <f ca="1">IFERROR(INDEX(UNSPSCDes,MATCH(INDIRECT(ADDRESS(ROW(),COLUMN()-1,4)),UNSPSCCode,0)),"")</f>
        <v>Lámina de acero</v>
      </c>
      <c r="C2034" s="63" t="s">
        <v>1449</v>
      </c>
      <c r="D2034" s="63">
        <v>5</v>
      </c>
      <c r="E2034" s="66">
        <v>1250</v>
      </c>
      <c r="F2034" s="65">
        <f ca="1">INDIRECT(ADDRESS(ROW(),COLUMN()-2,4))*INDIRECT(ADDRESS(ROW(),COLUMN()-1,4))</f>
        <v>6250</v>
      </c>
      <c r="G2034" s="5"/>
      <c r="H2034" s="5"/>
      <c r="I2034" s="5"/>
      <c r="J2034" s="5"/>
    </row>
    <row r="2035" spans="1:10" ht="14.1" customHeight="1" x14ac:dyDescent="0.2">
      <c r="A2035" s="5"/>
      <c r="B2035" s="5"/>
      <c r="C2035" s="5"/>
      <c r="D2035" s="5"/>
      <c r="E2035" s="68" t="s">
        <v>12550</v>
      </c>
      <c r="F2035" s="69">
        <f ca="1">SUM(Table3129[MONTO TOTAL ESTIMADO])</f>
        <v>12500</v>
      </c>
      <c r="G2035" s="5"/>
      <c r="H2035" s="5" t="str">
        <f>C2026</f>
        <v>Bienes</v>
      </c>
      <c r="I2035" s="5" t="str">
        <f>E2026</f>
        <v>No</v>
      </c>
      <c r="J2035" s="5" t="str">
        <f>D2026</f>
        <v>Compras por debajo del Umbral</v>
      </c>
    </row>
    <row r="2036" spans="1:10" ht="14.1" customHeight="1" thickBot="1" x14ac:dyDescent="0.3"/>
    <row r="2037" spans="1:10" ht="33.75" customHeight="1" thickBot="1" x14ac:dyDescent="0.25">
      <c r="A2037" s="59" t="s">
        <v>16382</v>
      </c>
      <c r="B2037" s="59" t="s">
        <v>161</v>
      </c>
      <c r="C2037" s="59" t="s">
        <v>11724</v>
      </c>
      <c r="D2037" s="59" t="s">
        <v>14378</v>
      </c>
      <c r="E2037" s="59" t="s">
        <v>10962</v>
      </c>
      <c r="F2037" s="59" t="s">
        <v>11095</v>
      </c>
      <c r="G2037" s="5"/>
      <c r="H2037" s="5"/>
      <c r="I2037" s="5"/>
      <c r="J2037" s="5"/>
    </row>
    <row r="2038" spans="1:10" ht="13.5" customHeight="1" thickBot="1" x14ac:dyDescent="0.25">
      <c r="A2038" s="77" t="s">
        <v>18899</v>
      </c>
      <c r="B2038" s="77" t="s">
        <v>18900</v>
      </c>
      <c r="C2038" s="61" t="s">
        <v>17797</v>
      </c>
      <c r="D2038" s="61" t="s">
        <v>10171</v>
      </c>
      <c r="E2038" s="61" t="s">
        <v>17853</v>
      </c>
      <c r="F2038" s="61"/>
      <c r="G2038" s="5"/>
      <c r="H2038" s="5"/>
      <c r="I2038" s="5"/>
      <c r="J2038" s="5"/>
    </row>
    <row r="2039" spans="1:10" ht="14.1" customHeight="1" thickBot="1" x14ac:dyDescent="0.25">
      <c r="A2039" s="82" t="s">
        <v>14828</v>
      </c>
      <c r="B2039" s="62" t="s">
        <v>8528</v>
      </c>
      <c r="C2039" s="71">
        <v>43831</v>
      </c>
      <c r="D2039" s="82" t="s">
        <v>9385</v>
      </c>
      <c r="E2039" s="62" t="s">
        <v>13093</v>
      </c>
      <c r="F2039" s="61" t="s">
        <v>3080</v>
      </c>
      <c r="G2039" s="5"/>
      <c r="H2039" s="5"/>
      <c r="I2039" s="5"/>
      <c r="J2039" s="5"/>
    </row>
    <row r="2040" spans="1:10" ht="14.1" customHeight="1" thickBot="1" x14ac:dyDescent="0.25">
      <c r="A2040" s="83"/>
      <c r="B2040" s="62" t="s">
        <v>1786</v>
      </c>
      <c r="C2040" s="60">
        <f>IF(C2039="","",IF(AND(MONTH(C2039)&gt;=1,MONTH(C2039)&lt;=3),1,IF(AND(MONTH(C2039)&gt;=4,MONTH(C2039)&lt;=6),2,IF(AND(MONTH(C2039)&gt;=7,MONTH(C2039)&lt;=9),3,4))))</f>
        <v>1</v>
      </c>
      <c r="D2040" s="83"/>
      <c r="E2040" s="62" t="s">
        <v>2417</v>
      </c>
      <c r="F2040" s="61" t="s">
        <v>11112</v>
      </c>
      <c r="G2040" s="5"/>
      <c r="H2040" s="5"/>
      <c r="I2040" s="5"/>
      <c r="J2040" s="5"/>
    </row>
    <row r="2041" spans="1:10" ht="14.1" customHeight="1" thickBot="1" x14ac:dyDescent="0.25">
      <c r="A2041" s="83"/>
      <c r="B2041" s="62" t="s">
        <v>12942</v>
      </c>
      <c r="C2041" s="71">
        <v>43921</v>
      </c>
      <c r="D2041" s="83"/>
      <c r="E2041" s="62" t="s">
        <v>3073</v>
      </c>
      <c r="F2041" s="61" t="s">
        <v>11112</v>
      </c>
      <c r="G2041" s="5"/>
      <c r="H2041" s="5"/>
      <c r="I2041" s="5"/>
      <c r="J2041" s="5"/>
    </row>
    <row r="2042" spans="1:10" ht="14.1" customHeight="1" thickBot="1" x14ac:dyDescent="0.25">
      <c r="A2042" s="83"/>
      <c r="B2042" s="62" t="s">
        <v>1786</v>
      </c>
      <c r="C2042" s="60">
        <f>IF(C2041="","",IF(AND(MONTH(C2041)&gt;=1,MONTH(C2041)&lt;=3),1,IF(AND(MONTH(C2041)&gt;=4,MONTH(C2041)&lt;=6),2,IF(AND(MONTH(C2041)&gt;=7,MONTH(C2041)&lt;=9),3,4))))</f>
        <v>1</v>
      </c>
      <c r="D2042" s="83"/>
      <c r="E2042" s="62" t="s">
        <v>13192</v>
      </c>
      <c r="F2042" s="61" t="s">
        <v>11112</v>
      </c>
      <c r="G2042" s="5"/>
      <c r="H2042" s="5"/>
      <c r="I2042" s="5"/>
      <c r="J2042" s="5"/>
    </row>
    <row r="2043" spans="1:10" ht="14.1" customHeight="1" thickBot="1" x14ac:dyDescent="0.25">
      <c r="A2043" s="5"/>
      <c r="B2043" s="5"/>
      <c r="C2043" s="5"/>
      <c r="D2043" s="5"/>
      <c r="E2043" s="5"/>
      <c r="F2043" s="5"/>
      <c r="G2043" s="5"/>
      <c r="H2043" s="5"/>
      <c r="I2043" s="5"/>
      <c r="J2043" s="5"/>
    </row>
    <row r="2044" spans="1:10" ht="14.1" customHeight="1" thickBot="1" x14ac:dyDescent="0.25">
      <c r="A2044" s="67" t="s">
        <v>15735</v>
      </c>
      <c r="B2044" s="67" t="s">
        <v>16146</v>
      </c>
      <c r="C2044" s="67" t="s">
        <v>15641</v>
      </c>
      <c r="D2044" s="67" t="s">
        <v>15251</v>
      </c>
      <c r="E2044" s="67" t="s">
        <v>6932</v>
      </c>
      <c r="F2044" s="67" t="s">
        <v>15280</v>
      </c>
      <c r="G2044" s="5"/>
      <c r="H2044" s="5"/>
      <c r="I2044" s="5"/>
      <c r="J2044" s="5"/>
    </row>
    <row r="2045" spans="1:10" ht="13.5" customHeight="1" x14ac:dyDescent="0.2">
      <c r="A2045" s="78">
        <v>24101510</v>
      </c>
      <c r="B2045" s="64" t="str">
        <f ca="1">IFERROR(INDEX(UNSPSCDes,MATCH(INDIRECT(ADDRESS(ROW(),COLUMN()-1,4)),UNSPSCCode,0)),"")</f>
        <v>Contenedor de basura plástico</v>
      </c>
      <c r="C2045" s="63" t="s">
        <v>1449</v>
      </c>
      <c r="D2045" s="63">
        <v>9</v>
      </c>
      <c r="E2045" s="66">
        <v>1000</v>
      </c>
      <c r="F2045" s="65">
        <f ca="1">INDIRECT(ADDRESS(ROW(),COLUMN()-2,4))*INDIRECT(ADDRESS(ROW(),COLUMN()-1,4))</f>
        <v>9000</v>
      </c>
      <c r="G2045" s="5"/>
      <c r="H2045" s="5"/>
      <c r="I2045" s="5"/>
      <c r="J2045" s="5"/>
    </row>
    <row r="2046" spans="1:10" ht="13.5" customHeight="1" x14ac:dyDescent="0.2">
      <c r="A2046" s="78">
        <v>24121807</v>
      </c>
      <c r="B2046" s="64" t="str">
        <f ca="1">IFERROR(INDEX(UNSPSCDes,MATCH(INDIRECT(ADDRESS(ROW(),COLUMN()-1,4)),UNSPSCCode,0)),"")</f>
        <v>Recipientes de plástico</v>
      </c>
      <c r="C2046" s="79" t="s">
        <v>1449</v>
      </c>
      <c r="D2046" s="63">
        <v>8</v>
      </c>
      <c r="E2046" s="66">
        <v>1000</v>
      </c>
      <c r="F2046" s="65">
        <f ca="1">INDIRECT(ADDRESS(ROW(),COLUMN()-2,4))*INDIRECT(ADDRESS(ROW(),COLUMN()-1,4))</f>
        <v>8000</v>
      </c>
      <c r="G2046" s="5"/>
      <c r="H2046" s="5"/>
      <c r="I2046" s="5"/>
      <c r="J2046" s="5"/>
    </row>
    <row r="2047" spans="1:10" ht="14.1" customHeight="1" x14ac:dyDescent="0.2">
      <c r="A2047" s="5"/>
      <c r="B2047" s="5"/>
      <c r="C2047" s="5"/>
      <c r="D2047" s="5"/>
      <c r="E2047" s="68" t="s">
        <v>12550</v>
      </c>
      <c r="F2047" s="69">
        <f ca="1">SUM(Table3130[MONTO TOTAL ESTIMADO])</f>
        <v>17000</v>
      </c>
      <c r="G2047" s="5"/>
      <c r="H2047" s="5" t="str">
        <f>C2038</f>
        <v>Bienes</v>
      </c>
      <c r="I2047" s="5" t="str">
        <f>E2038</f>
        <v>No</v>
      </c>
      <c r="J2047" s="5" t="str">
        <f>D2038</f>
        <v>Compras por debajo del Umbral</v>
      </c>
    </row>
    <row r="2048" spans="1:10" ht="14.1" customHeight="1" thickBot="1" x14ac:dyDescent="0.3"/>
    <row r="2049" spans="1:10" ht="33.75" customHeight="1" thickBot="1" x14ac:dyDescent="0.25">
      <c r="A2049" s="59" t="s">
        <v>16382</v>
      </c>
      <c r="B2049" s="59" t="s">
        <v>161</v>
      </c>
      <c r="C2049" s="59" t="s">
        <v>11724</v>
      </c>
      <c r="D2049" s="59" t="s">
        <v>14378</v>
      </c>
      <c r="E2049" s="59" t="s">
        <v>10962</v>
      </c>
      <c r="F2049" s="59" t="s">
        <v>11095</v>
      </c>
      <c r="G2049" s="5"/>
      <c r="H2049" s="5"/>
      <c r="I2049" s="5"/>
      <c r="J2049" s="5"/>
    </row>
    <row r="2050" spans="1:10" ht="13.5" customHeight="1" thickBot="1" x14ac:dyDescent="0.25">
      <c r="A2050" s="77" t="s">
        <v>18899</v>
      </c>
      <c r="B2050" s="77" t="s">
        <v>18899</v>
      </c>
      <c r="C2050" s="61" t="s">
        <v>17797</v>
      </c>
      <c r="D2050" s="61" t="s">
        <v>10171</v>
      </c>
      <c r="E2050" s="61" t="s">
        <v>17853</v>
      </c>
      <c r="F2050" s="61"/>
      <c r="G2050" s="5"/>
      <c r="H2050" s="5"/>
      <c r="I2050" s="5"/>
      <c r="J2050" s="5"/>
    </row>
    <row r="2051" spans="1:10" ht="14.1" customHeight="1" thickBot="1" x14ac:dyDescent="0.25">
      <c r="A2051" s="82" t="s">
        <v>14828</v>
      </c>
      <c r="B2051" s="62" t="s">
        <v>8528</v>
      </c>
      <c r="C2051" s="71">
        <v>43922</v>
      </c>
      <c r="D2051" s="82" t="s">
        <v>9385</v>
      </c>
      <c r="E2051" s="62" t="s">
        <v>13093</v>
      </c>
      <c r="F2051" s="61" t="s">
        <v>3080</v>
      </c>
      <c r="G2051" s="5"/>
      <c r="H2051" s="5"/>
      <c r="I2051" s="5"/>
      <c r="J2051" s="5"/>
    </row>
    <row r="2052" spans="1:10" ht="14.1" customHeight="1" thickBot="1" x14ac:dyDescent="0.25">
      <c r="A2052" s="83"/>
      <c r="B2052" s="62" t="s">
        <v>1786</v>
      </c>
      <c r="C2052" s="60">
        <f>IF(C2051="","",IF(AND(MONTH(C2051)&gt;=1,MONTH(C2051)&lt;=3),1,IF(AND(MONTH(C2051)&gt;=4,MONTH(C2051)&lt;=6),2,IF(AND(MONTH(C2051)&gt;=7,MONTH(C2051)&lt;=9),3,4))))</f>
        <v>2</v>
      </c>
      <c r="D2052" s="83"/>
      <c r="E2052" s="62" t="s">
        <v>2417</v>
      </c>
      <c r="F2052" s="61" t="s">
        <v>11112</v>
      </c>
      <c r="G2052" s="5"/>
      <c r="H2052" s="5"/>
      <c r="I2052" s="5"/>
      <c r="J2052" s="5"/>
    </row>
    <row r="2053" spans="1:10" ht="14.1" customHeight="1" thickBot="1" x14ac:dyDescent="0.25">
      <c r="A2053" s="83"/>
      <c r="B2053" s="62" t="s">
        <v>12942</v>
      </c>
      <c r="C2053" s="71">
        <v>44012</v>
      </c>
      <c r="D2053" s="83"/>
      <c r="E2053" s="62" t="s">
        <v>3073</v>
      </c>
      <c r="F2053" s="61" t="s">
        <v>11112</v>
      </c>
      <c r="G2053" s="5"/>
      <c r="H2053" s="5"/>
      <c r="I2053" s="5"/>
      <c r="J2053" s="5"/>
    </row>
    <row r="2054" spans="1:10" ht="14.1" customHeight="1" thickBot="1" x14ac:dyDescent="0.25">
      <c r="A2054" s="83"/>
      <c r="B2054" s="62" t="s">
        <v>1786</v>
      </c>
      <c r="C2054" s="60">
        <f>IF(C2053="","",IF(AND(MONTH(C2053)&gt;=1,MONTH(C2053)&lt;=3),1,IF(AND(MONTH(C2053)&gt;=4,MONTH(C2053)&lt;=6),2,IF(AND(MONTH(C2053)&gt;=7,MONTH(C2053)&lt;=9),3,4))))</f>
        <v>2</v>
      </c>
      <c r="D2054" s="83"/>
      <c r="E2054" s="62" t="s">
        <v>13192</v>
      </c>
      <c r="F2054" s="61" t="s">
        <v>11112</v>
      </c>
      <c r="G2054" s="5"/>
      <c r="H2054" s="5"/>
      <c r="I2054" s="5"/>
      <c r="J2054" s="5"/>
    </row>
    <row r="2055" spans="1:10" ht="14.1" customHeight="1" thickBot="1" x14ac:dyDescent="0.25">
      <c r="A2055" s="5"/>
      <c r="B2055" s="5"/>
      <c r="C2055" s="5"/>
      <c r="D2055" s="5"/>
      <c r="E2055" s="5"/>
      <c r="F2055" s="5"/>
      <c r="G2055" s="5"/>
      <c r="H2055" s="5"/>
      <c r="I2055" s="5"/>
      <c r="J2055" s="5"/>
    </row>
    <row r="2056" spans="1:10" ht="14.1" customHeight="1" thickBot="1" x14ac:dyDescent="0.25">
      <c r="A2056" s="67" t="s">
        <v>15735</v>
      </c>
      <c r="B2056" s="67" t="s">
        <v>16146</v>
      </c>
      <c r="C2056" s="67" t="s">
        <v>15641</v>
      </c>
      <c r="D2056" s="67" t="s">
        <v>15251</v>
      </c>
      <c r="E2056" s="67" t="s">
        <v>6932</v>
      </c>
      <c r="F2056" s="67" t="s">
        <v>15280</v>
      </c>
      <c r="G2056" s="5"/>
      <c r="H2056" s="5"/>
      <c r="I2056" s="5"/>
      <c r="J2056" s="5"/>
    </row>
    <row r="2057" spans="1:10" ht="13.5" customHeight="1" x14ac:dyDescent="0.2">
      <c r="A2057" s="78">
        <v>24101510</v>
      </c>
      <c r="B2057" s="64" t="str">
        <f ca="1">IFERROR(INDEX(UNSPSCDes,MATCH(INDIRECT(ADDRESS(ROW(),COLUMN()-1,4)),UNSPSCCode,0)),"")</f>
        <v>Contenedor de basura plástico</v>
      </c>
      <c r="C2057" s="63" t="s">
        <v>1449</v>
      </c>
      <c r="D2057" s="63">
        <v>8</v>
      </c>
      <c r="E2057" s="66">
        <v>1000</v>
      </c>
      <c r="F2057" s="65">
        <f ca="1">INDIRECT(ADDRESS(ROW(),COLUMN()-2,4))*INDIRECT(ADDRESS(ROW(),COLUMN()-1,4))</f>
        <v>8000</v>
      </c>
      <c r="G2057" s="5"/>
      <c r="H2057" s="5"/>
      <c r="I2057" s="5"/>
      <c r="J2057" s="5"/>
    </row>
    <row r="2058" spans="1:10" ht="13.5" customHeight="1" x14ac:dyDescent="0.2">
      <c r="A2058" s="78">
        <v>24121807</v>
      </c>
      <c r="B2058" s="64" t="str">
        <f ca="1">IFERROR(INDEX(UNSPSCDes,MATCH(INDIRECT(ADDRESS(ROW(),COLUMN()-1,4)),UNSPSCCode,0)),"")</f>
        <v>Recipientes de plástico</v>
      </c>
      <c r="C2058" s="63" t="s">
        <v>1449</v>
      </c>
      <c r="D2058" s="63">
        <v>9</v>
      </c>
      <c r="E2058" s="66">
        <v>1000</v>
      </c>
      <c r="F2058" s="65">
        <f ca="1">INDIRECT(ADDRESS(ROW(),COLUMN()-2,4))*INDIRECT(ADDRESS(ROW(),COLUMN()-1,4))</f>
        <v>9000</v>
      </c>
      <c r="G2058" s="5"/>
      <c r="H2058" s="5"/>
      <c r="I2058" s="5"/>
      <c r="J2058" s="5"/>
    </row>
    <row r="2059" spans="1:10" ht="14.1" customHeight="1" x14ac:dyDescent="0.2">
      <c r="A2059" s="5"/>
      <c r="B2059" s="5"/>
      <c r="C2059" s="5"/>
      <c r="D2059" s="5"/>
      <c r="E2059" s="68" t="s">
        <v>12550</v>
      </c>
      <c r="F2059" s="69">
        <f ca="1">SUM(Table3131[MONTO TOTAL ESTIMADO])</f>
        <v>17000</v>
      </c>
      <c r="G2059" s="5"/>
      <c r="H2059" s="5" t="str">
        <f>C2050</f>
        <v>Bienes</v>
      </c>
      <c r="I2059" s="5" t="str">
        <f>E2050</f>
        <v>No</v>
      </c>
      <c r="J2059" s="5" t="str">
        <f>D2050</f>
        <v>Compras por debajo del Umbral</v>
      </c>
    </row>
    <row r="2060" spans="1:10" ht="14.1" customHeight="1" thickBot="1" x14ac:dyDescent="0.3"/>
    <row r="2061" spans="1:10" ht="33.75" customHeight="1" thickBot="1" x14ac:dyDescent="0.25">
      <c r="A2061" s="59" t="s">
        <v>16382</v>
      </c>
      <c r="B2061" s="59" t="s">
        <v>161</v>
      </c>
      <c r="C2061" s="59" t="s">
        <v>11724</v>
      </c>
      <c r="D2061" s="59" t="s">
        <v>14378</v>
      </c>
      <c r="E2061" s="59" t="s">
        <v>10962</v>
      </c>
      <c r="F2061" s="59" t="s">
        <v>11095</v>
      </c>
      <c r="G2061" s="5"/>
      <c r="H2061" s="5"/>
      <c r="I2061" s="5"/>
      <c r="J2061" s="5"/>
    </row>
    <row r="2062" spans="1:10" ht="13.5" customHeight="1" thickBot="1" x14ac:dyDescent="0.25">
      <c r="A2062" s="77" t="s">
        <v>18899</v>
      </c>
      <c r="B2062" s="77" t="s">
        <v>18899</v>
      </c>
      <c r="C2062" s="61" t="s">
        <v>17797</v>
      </c>
      <c r="D2062" s="61" t="s">
        <v>10171</v>
      </c>
      <c r="E2062" s="61" t="s">
        <v>17853</v>
      </c>
      <c r="F2062" s="61"/>
      <c r="G2062" s="5"/>
      <c r="H2062" s="5"/>
      <c r="I2062" s="5"/>
      <c r="J2062" s="5"/>
    </row>
    <row r="2063" spans="1:10" ht="14.1" customHeight="1" thickBot="1" x14ac:dyDescent="0.25">
      <c r="A2063" s="82" t="s">
        <v>14828</v>
      </c>
      <c r="B2063" s="62" t="s">
        <v>8528</v>
      </c>
      <c r="C2063" s="71">
        <v>44013</v>
      </c>
      <c r="D2063" s="82" t="s">
        <v>9385</v>
      </c>
      <c r="E2063" s="62" t="s">
        <v>13093</v>
      </c>
      <c r="F2063" s="61" t="s">
        <v>3080</v>
      </c>
      <c r="G2063" s="5"/>
      <c r="H2063" s="5"/>
      <c r="I2063" s="5"/>
      <c r="J2063" s="5"/>
    </row>
    <row r="2064" spans="1:10" ht="14.1" customHeight="1" thickBot="1" x14ac:dyDescent="0.25">
      <c r="A2064" s="83"/>
      <c r="B2064" s="62" t="s">
        <v>1786</v>
      </c>
      <c r="C2064" s="60">
        <f>IF(C2063="","",IF(AND(MONTH(C2063)&gt;=1,MONTH(C2063)&lt;=3),1,IF(AND(MONTH(C2063)&gt;=4,MONTH(C2063)&lt;=6),2,IF(AND(MONTH(C2063)&gt;=7,MONTH(C2063)&lt;=9),3,4))))</f>
        <v>3</v>
      </c>
      <c r="D2064" s="83"/>
      <c r="E2064" s="62" t="s">
        <v>2417</v>
      </c>
      <c r="F2064" s="61" t="s">
        <v>11112</v>
      </c>
      <c r="G2064" s="5"/>
      <c r="H2064" s="5"/>
      <c r="I2064" s="5"/>
      <c r="J2064" s="5"/>
    </row>
    <row r="2065" spans="1:10" ht="14.1" customHeight="1" thickBot="1" x14ac:dyDescent="0.25">
      <c r="A2065" s="83"/>
      <c r="B2065" s="62" t="s">
        <v>12942</v>
      </c>
      <c r="C2065" s="71">
        <v>44104</v>
      </c>
      <c r="D2065" s="83"/>
      <c r="E2065" s="62" t="s">
        <v>3073</v>
      </c>
      <c r="F2065" s="61" t="s">
        <v>11112</v>
      </c>
      <c r="G2065" s="5"/>
      <c r="H2065" s="5"/>
      <c r="I2065" s="5"/>
      <c r="J2065" s="5"/>
    </row>
    <row r="2066" spans="1:10" ht="14.1" customHeight="1" thickBot="1" x14ac:dyDescent="0.25">
      <c r="A2066" s="83"/>
      <c r="B2066" s="62" t="s">
        <v>1786</v>
      </c>
      <c r="C2066" s="60">
        <f>IF(C2065="","",IF(AND(MONTH(C2065)&gt;=1,MONTH(C2065)&lt;=3),1,IF(AND(MONTH(C2065)&gt;=4,MONTH(C2065)&lt;=6),2,IF(AND(MONTH(C2065)&gt;=7,MONTH(C2065)&lt;=9),3,4))))</f>
        <v>3</v>
      </c>
      <c r="D2066" s="83"/>
      <c r="E2066" s="62" t="s">
        <v>13192</v>
      </c>
      <c r="F2066" s="61" t="s">
        <v>11112</v>
      </c>
      <c r="G2066" s="5"/>
      <c r="H2066" s="5"/>
      <c r="I2066" s="5"/>
      <c r="J2066" s="5"/>
    </row>
    <row r="2067" spans="1:10" ht="14.1" customHeight="1" thickBot="1" x14ac:dyDescent="0.25">
      <c r="A2067" s="5"/>
      <c r="B2067" s="5"/>
      <c r="C2067" s="5"/>
      <c r="D2067" s="5"/>
      <c r="E2067" s="5"/>
      <c r="F2067" s="5"/>
      <c r="G2067" s="5"/>
      <c r="H2067" s="5"/>
      <c r="I2067" s="5"/>
      <c r="J2067" s="5"/>
    </row>
    <row r="2068" spans="1:10" ht="14.1" customHeight="1" thickBot="1" x14ac:dyDescent="0.25">
      <c r="A2068" s="67" t="s">
        <v>15735</v>
      </c>
      <c r="B2068" s="67" t="s">
        <v>16146</v>
      </c>
      <c r="C2068" s="67" t="s">
        <v>15641</v>
      </c>
      <c r="D2068" s="67" t="s">
        <v>15251</v>
      </c>
      <c r="E2068" s="67" t="s">
        <v>6932</v>
      </c>
      <c r="F2068" s="67" t="s">
        <v>15280</v>
      </c>
      <c r="G2068" s="5"/>
      <c r="H2068" s="5"/>
      <c r="I2068" s="5"/>
      <c r="J2068" s="5"/>
    </row>
    <row r="2069" spans="1:10" ht="13.5" customHeight="1" x14ac:dyDescent="0.2">
      <c r="A2069" s="78">
        <v>24101510</v>
      </c>
      <c r="B2069" s="64" t="str">
        <f ca="1">IFERROR(INDEX(UNSPSCDes,MATCH(INDIRECT(ADDRESS(ROW(),COLUMN()-1,4)),UNSPSCCode,0)),"")</f>
        <v>Contenedor de basura plástico</v>
      </c>
      <c r="C2069" s="63" t="s">
        <v>1449</v>
      </c>
      <c r="D2069" s="63">
        <v>9</v>
      </c>
      <c r="E2069" s="66">
        <v>1000</v>
      </c>
      <c r="F2069" s="65">
        <f ca="1">INDIRECT(ADDRESS(ROW(),COLUMN()-2,4))*INDIRECT(ADDRESS(ROW(),COLUMN()-1,4))</f>
        <v>9000</v>
      </c>
      <c r="G2069" s="5"/>
      <c r="H2069" s="5"/>
      <c r="I2069" s="5"/>
      <c r="J2069" s="5"/>
    </row>
    <row r="2070" spans="1:10" ht="13.5" customHeight="1" x14ac:dyDescent="0.2">
      <c r="A2070" s="78">
        <v>24121807</v>
      </c>
      <c r="B2070" s="64" t="str">
        <f ca="1">IFERROR(INDEX(UNSPSCDes,MATCH(INDIRECT(ADDRESS(ROW(),COLUMN()-1,4)),UNSPSCCode,0)),"")</f>
        <v>Recipientes de plástico</v>
      </c>
      <c r="C2070" s="63" t="s">
        <v>1449</v>
      </c>
      <c r="D2070" s="63">
        <v>8</v>
      </c>
      <c r="E2070" s="66">
        <v>1000</v>
      </c>
      <c r="F2070" s="65">
        <f ca="1">INDIRECT(ADDRESS(ROW(),COLUMN()-2,4))*INDIRECT(ADDRESS(ROW(),COLUMN()-1,4))</f>
        <v>8000</v>
      </c>
      <c r="G2070" s="5"/>
      <c r="H2070" s="5"/>
      <c r="I2070" s="5"/>
      <c r="J2070" s="5"/>
    </row>
    <row r="2071" spans="1:10" ht="14.1" customHeight="1" x14ac:dyDescent="0.2">
      <c r="A2071" s="5"/>
      <c r="B2071" s="5"/>
      <c r="C2071" s="5"/>
      <c r="D2071" s="5"/>
      <c r="E2071" s="68" t="s">
        <v>12550</v>
      </c>
      <c r="F2071" s="69">
        <f ca="1">SUM(Table3132[MONTO TOTAL ESTIMADO])</f>
        <v>17000</v>
      </c>
      <c r="G2071" s="5"/>
      <c r="H2071" s="5" t="str">
        <f>C2062</f>
        <v>Bienes</v>
      </c>
      <c r="I2071" s="5" t="str">
        <f>E2062</f>
        <v>No</v>
      </c>
      <c r="J2071" s="5" t="str">
        <f>D2062</f>
        <v>Compras por debajo del Umbral</v>
      </c>
    </row>
    <row r="2072" spans="1:10" ht="14.1" customHeight="1" thickBot="1" x14ac:dyDescent="0.3"/>
    <row r="2073" spans="1:10" ht="33.75" customHeight="1" thickBot="1" x14ac:dyDescent="0.25">
      <c r="A2073" s="59" t="s">
        <v>16382</v>
      </c>
      <c r="B2073" s="59" t="s">
        <v>161</v>
      </c>
      <c r="C2073" s="59" t="s">
        <v>11724</v>
      </c>
      <c r="D2073" s="59" t="s">
        <v>14378</v>
      </c>
      <c r="E2073" s="59" t="s">
        <v>10962</v>
      </c>
      <c r="F2073" s="59" t="s">
        <v>11095</v>
      </c>
      <c r="G2073" s="5"/>
      <c r="H2073" s="5"/>
      <c r="I2073" s="5"/>
      <c r="J2073" s="5"/>
    </row>
    <row r="2074" spans="1:10" ht="13.5" customHeight="1" thickBot="1" x14ac:dyDescent="0.25">
      <c r="A2074" s="77" t="s">
        <v>18899</v>
      </c>
      <c r="B2074" s="77" t="s">
        <v>18899</v>
      </c>
      <c r="C2074" s="61" t="s">
        <v>17797</v>
      </c>
      <c r="D2074" s="61" t="s">
        <v>10171</v>
      </c>
      <c r="E2074" s="61" t="s">
        <v>17853</v>
      </c>
      <c r="F2074" s="61"/>
      <c r="G2074" s="5"/>
      <c r="H2074" s="5"/>
      <c r="I2074" s="5"/>
      <c r="J2074" s="5"/>
    </row>
    <row r="2075" spans="1:10" ht="14.1" customHeight="1" thickBot="1" x14ac:dyDescent="0.25">
      <c r="A2075" s="82" t="s">
        <v>14828</v>
      </c>
      <c r="B2075" s="62" t="s">
        <v>8528</v>
      </c>
      <c r="C2075" s="71">
        <v>44105</v>
      </c>
      <c r="D2075" s="82" t="s">
        <v>9385</v>
      </c>
      <c r="E2075" s="62" t="s">
        <v>13093</v>
      </c>
      <c r="F2075" s="61" t="s">
        <v>3080</v>
      </c>
      <c r="G2075" s="5"/>
      <c r="H2075" s="5"/>
      <c r="I2075" s="5"/>
      <c r="J2075" s="5"/>
    </row>
    <row r="2076" spans="1:10" ht="14.1" customHeight="1" thickBot="1" x14ac:dyDescent="0.25">
      <c r="A2076" s="83"/>
      <c r="B2076" s="62" t="s">
        <v>1786</v>
      </c>
      <c r="C2076" s="60">
        <f>IF(C2075="","",IF(AND(MONTH(C2075)&gt;=1,MONTH(C2075)&lt;=3),1,IF(AND(MONTH(C2075)&gt;=4,MONTH(C2075)&lt;=6),2,IF(AND(MONTH(C2075)&gt;=7,MONTH(C2075)&lt;=9),3,4))))</f>
        <v>4</v>
      </c>
      <c r="D2076" s="83"/>
      <c r="E2076" s="62" t="s">
        <v>2417</v>
      </c>
      <c r="F2076" s="61" t="s">
        <v>11112</v>
      </c>
      <c r="G2076" s="5"/>
      <c r="H2076" s="5"/>
      <c r="I2076" s="5"/>
      <c r="J2076" s="5"/>
    </row>
    <row r="2077" spans="1:10" ht="14.1" customHeight="1" thickBot="1" x14ac:dyDescent="0.25">
      <c r="A2077" s="83"/>
      <c r="B2077" s="62" t="s">
        <v>12942</v>
      </c>
      <c r="C2077" s="71">
        <v>44196</v>
      </c>
      <c r="D2077" s="83"/>
      <c r="E2077" s="62" t="s">
        <v>3073</v>
      </c>
      <c r="F2077" s="61" t="s">
        <v>11112</v>
      </c>
      <c r="G2077" s="5"/>
      <c r="H2077" s="5"/>
      <c r="I2077" s="5"/>
      <c r="J2077" s="5"/>
    </row>
    <row r="2078" spans="1:10" ht="14.1" customHeight="1" thickBot="1" x14ac:dyDescent="0.25">
      <c r="A2078" s="83"/>
      <c r="B2078" s="62" t="s">
        <v>1786</v>
      </c>
      <c r="C2078" s="60">
        <f>IF(C2077="","",IF(AND(MONTH(C2077)&gt;=1,MONTH(C2077)&lt;=3),1,IF(AND(MONTH(C2077)&gt;=4,MONTH(C2077)&lt;=6),2,IF(AND(MONTH(C2077)&gt;=7,MONTH(C2077)&lt;=9),3,4))))</f>
        <v>4</v>
      </c>
      <c r="D2078" s="83"/>
      <c r="E2078" s="62" t="s">
        <v>13192</v>
      </c>
      <c r="F2078" s="61" t="s">
        <v>11112</v>
      </c>
      <c r="G2078" s="5"/>
      <c r="H2078" s="5"/>
      <c r="I2078" s="5"/>
      <c r="J2078" s="5"/>
    </row>
    <row r="2079" spans="1:10" ht="14.1" customHeight="1" thickBot="1" x14ac:dyDescent="0.25">
      <c r="A2079" s="5"/>
      <c r="B2079" s="5"/>
      <c r="C2079" s="5"/>
      <c r="D2079" s="5"/>
      <c r="E2079" s="5"/>
      <c r="F2079" s="5"/>
      <c r="G2079" s="5"/>
      <c r="H2079" s="5"/>
      <c r="I2079" s="5"/>
      <c r="J2079" s="5"/>
    </row>
    <row r="2080" spans="1:10" ht="14.1" customHeight="1" thickBot="1" x14ac:dyDescent="0.25">
      <c r="A2080" s="67" t="s">
        <v>15735</v>
      </c>
      <c r="B2080" s="67" t="s">
        <v>16146</v>
      </c>
      <c r="C2080" s="67" t="s">
        <v>15641</v>
      </c>
      <c r="D2080" s="67" t="s">
        <v>15251</v>
      </c>
      <c r="E2080" s="67" t="s">
        <v>6932</v>
      </c>
      <c r="F2080" s="67" t="s">
        <v>15280</v>
      </c>
      <c r="G2080" s="5"/>
      <c r="H2080" s="5"/>
      <c r="I2080" s="5"/>
      <c r="J2080" s="5"/>
    </row>
    <row r="2081" spans="1:10" ht="13.5" customHeight="1" x14ac:dyDescent="0.2">
      <c r="A2081" s="78">
        <v>24101510</v>
      </c>
      <c r="B2081" s="64" t="str">
        <f ca="1">IFERROR(INDEX(UNSPSCDes,MATCH(INDIRECT(ADDRESS(ROW(),COLUMN()-1,4)),UNSPSCCode,0)),"")</f>
        <v>Contenedor de basura plástico</v>
      </c>
      <c r="C2081" s="63" t="s">
        <v>1449</v>
      </c>
      <c r="D2081" s="63">
        <v>8</v>
      </c>
      <c r="E2081" s="66">
        <v>1000</v>
      </c>
      <c r="F2081" s="65">
        <f ca="1">INDIRECT(ADDRESS(ROW(),COLUMN()-2,4))*INDIRECT(ADDRESS(ROW(),COLUMN()-1,4))</f>
        <v>8000</v>
      </c>
      <c r="G2081" s="5"/>
      <c r="H2081" s="5"/>
      <c r="I2081" s="5"/>
      <c r="J2081" s="5"/>
    </row>
    <row r="2082" spans="1:10" ht="13.5" customHeight="1" x14ac:dyDescent="0.2">
      <c r="A2082" s="78">
        <v>24121807</v>
      </c>
      <c r="B2082" s="64" t="str">
        <f ca="1">IFERROR(INDEX(UNSPSCDes,MATCH(INDIRECT(ADDRESS(ROW(),COLUMN()-1,4)),UNSPSCCode,0)),"")</f>
        <v>Recipientes de plástico</v>
      </c>
      <c r="C2082" s="63" t="s">
        <v>1449</v>
      </c>
      <c r="D2082" s="63">
        <v>9</v>
      </c>
      <c r="E2082" s="66">
        <v>1000</v>
      </c>
      <c r="F2082" s="65">
        <f ca="1">INDIRECT(ADDRESS(ROW(),COLUMN()-2,4))*INDIRECT(ADDRESS(ROW(),COLUMN()-1,4))</f>
        <v>9000</v>
      </c>
      <c r="G2082" s="5"/>
      <c r="H2082" s="5"/>
      <c r="I2082" s="5"/>
      <c r="J2082" s="5"/>
    </row>
    <row r="2083" spans="1:10" ht="14.1" customHeight="1" x14ac:dyDescent="0.2">
      <c r="A2083" s="5"/>
      <c r="B2083" s="5"/>
      <c r="C2083" s="5"/>
      <c r="D2083" s="5"/>
      <c r="E2083" s="68" t="s">
        <v>12550</v>
      </c>
      <c r="F2083" s="69">
        <f ca="1">SUM(Table3133[MONTO TOTAL ESTIMADO])</f>
        <v>17000</v>
      </c>
      <c r="G2083" s="5"/>
      <c r="H2083" s="5" t="str">
        <f>C2074</f>
        <v>Bienes</v>
      </c>
      <c r="I2083" s="5" t="str">
        <f>E2074</f>
        <v>No</v>
      </c>
      <c r="J2083" s="5" t="str">
        <f>D2074</f>
        <v>Compras por debajo del Umbral</v>
      </c>
    </row>
  </sheetData>
  <sheetProtection algorithmName="SHA-512" hashValue="ozzAn4EODrEWSr9e4/8NrtM2PtL3INtE+enIm6cZj7k3z21mQ42H16nP1hxgrPe+HPkmWfTBVSbxJCqOskN9IQ==" saltValue="Kh9bpx6XORijyaFX7uC32Q==" spinCount="100000" sheet="1" objects="1" scenarios="1"/>
  <protectedRanges>
    <protectedRange sqref="F5:G5" name="Rango3"/>
    <protectedRange sqref="E11:E12" name="Rango2"/>
  </protectedRanges>
  <mergeCells count="272">
    <mergeCell ref="A1695:A1698"/>
    <mergeCell ref="D1695:D1698"/>
    <mergeCell ref="A1707:A1710"/>
    <mergeCell ref="D1707:D1710"/>
    <mergeCell ref="A1719:A1722"/>
    <mergeCell ref="D1719:D1722"/>
    <mergeCell ref="A1731:A1734"/>
    <mergeCell ref="D1731:D1734"/>
    <mergeCell ref="A1615:A1618"/>
    <mergeCell ref="D1615:D1618"/>
    <mergeCell ref="A1627:A1630"/>
    <mergeCell ref="D1627:D1630"/>
    <mergeCell ref="A1644:A1647"/>
    <mergeCell ref="D1644:D1647"/>
    <mergeCell ref="A1661:A1664"/>
    <mergeCell ref="D1661:D1664"/>
    <mergeCell ref="A1678:A1681"/>
    <mergeCell ref="D1678:D1681"/>
    <mergeCell ref="A1551:A1554"/>
    <mergeCell ref="D1551:D1554"/>
    <mergeCell ref="A1565:A1568"/>
    <mergeCell ref="D1565:D1568"/>
    <mergeCell ref="A1579:A1582"/>
    <mergeCell ref="D1579:D1582"/>
    <mergeCell ref="A1591:A1594"/>
    <mergeCell ref="D1591:D1594"/>
    <mergeCell ref="A1603:A1606"/>
    <mergeCell ref="D1603:D1606"/>
    <mergeCell ref="A1484:A1487"/>
    <mergeCell ref="D1484:D1487"/>
    <mergeCell ref="A1497:A1500"/>
    <mergeCell ref="D1497:D1500"/>
    <mergeCell ref="A1510:A1513"/>
    <mergeCell ref="D1510:D1513"/>
    <mergeCell ref="A1523:A1526"/>
    <mergeCell ref="D1523:D1526"/>
    <mergeCell ref="A1537:A1540"/>
    <mergeCell ref="D1537:D1540"/>
    <mergeCell ref="A1423:A1426"/>
    <mergeCell ref="D1423:D1426"/>
    <mergeCell ref="A1435:A1438"/>
    <mergeCell ref="D1435:D1438"/>
    <mergeCell ref="A1447:A1450"/>
    <mergeCell ref="D1447:D1450"/>
    <mergeCell ref="A1459:A1462"/>
    <mergeCell ref="D1459:D1462"/>
    <mergeCell ref="A1471:A1474"/>
    <mergeCell ref="D1471:D1474"/>
    <mergeCell ref="A1363:A1366"/>
    <mergeCell ref="D1363:D1366"/>
    <mergeCell ref="A1375:A1378"/>
    <mergeCell ref="D1375:D1378"/>
    <mergeCell ref="A1387:A1390"/>
    <mergeCell ref="D1387:D1390"/>
    <mergeCell ref="A1399:A1402"/>
    <mergeCell ref="D1399:D1402"/>
    <mergeCell ref="A1411:A1414"/>
    <mergeCell ref="D1411:D1414"/>
    <mergeCell ref="A1303:A1306"/>
    <mergeCell ref="D1303:D1306"/>
    <mergeCell ref="A1315:A1318"/>
    <mergeCell ref="D1315:D1318"/>
    <mergeCell ref="A1327:A1330"/>
    <mergeCell ref="D1327:D1330"/>
    <mergeCell ref="A1339:A1342"/>
    <mergeCell ref="D1339:D1342"/>
    <mergeCell ref="A1351:A1354"/>
    <mergeCell ref="D1351:D1354"/>
    <mergeCell ref="A1239:A1242"/>
    <mergeCell ref="D1239:D1242"/>
    <mergeCell ref="A1250:A1253"/>
    <mergeCell ref="D1250:D1253"/>
    <mergeCell ref="A1264:A1267"/>
    <mergeCell ref="D1264:D1267"/>
    <mergeCell ref="A1277:A1280"/>
    <mergeCell ref="D1277:D1280"/>
    <mergeCell ref="A1291:A1294"/>
    <mergeCell ref="D1291:D1294"/>
    <mergeCell ref="A1179:A1182"/>
    <mergeCell ref="D1179:D1182"/>
    <mergeCell ref="A1192:A1195"/>
    <mergeCell ref="D1192:D1195"/>
    <mergeCell ref="A1204:A1207"/>
    <mergeCell ref="D1204:D1207"/>
    <mergeCell ref="A1217:A1220"/>
    <mergeCell ref="D1217:D1220"/>
    <mergeCell ref="A1228:A1231"/>
    <mergeCell ref="D1228:D1231"/>
    <mergeCell ref="A1118:A1121"/>
    <mergeCell ref="D1118:D1121"/>
    <mergeCell ref="A1130:A1133"/>
    <mergeCell ref="D1130:D1133"/>
    <mergeCell ref="A1143:A1146"/>
    <mergeCell ref="D1143:D1146"/>
    <mergeCell ref="A1155:A1158"/>
    <mergeCell ref="D1155:D1158"/>
    <mergeCell ref="A1167:A1170"/>
    <mergeCell ref="D1167:D1170"/>
    <mergeCell ref="A1029:A1032"/>
    <mergeCell ref="D1029:D1032"/>
    <mergeCell ref="A1049:A1052"/>
    <mergeCell ref="D1049:D1052"/>
    <mergeCell ref="A1074:A1077"/>
    <mergeCell ref="D1074:D1077"/>
    <mergeCell ref="A1094:A1097"/>
    <mergeCell ref="D1094:D1097"/>
    <mergeCell ref="A1106:A1109"/>
    <mergeCell ref="D1106:D1109"/>
    <mergeCell ref="A941:A944"/>
    <mergeCell ref="D941:D944"/>
    <mergeCell ref="A957:A960"/>
    <mergeCell ref="D957:D960"/>
    <mergeCell ref="A972:A975"/>
    <mergeCell ref="D972:D975"/>
    <mergeCell ref="A987:A990"/>
    <mergeCell ref="D987:D990"/>
    <mergeCell ref="A1004:A1007"/>
    <mergeCell ref="D1004:D1007"/>
    <mergeCell ref="A410:A413"/>
    <mergeCell ref="D410:D413"/>
    <mergeCell ref="A427:A430"/>
    <mergeCell ref="D427:D430"/>
    <mergeCell ref="A444:A447"/>
    <mergeCell ref="D444:D447"/>
    <mergeCell ref="A498:A501"/>
    <mergeCell ref="D498:D501"/>
    <mergeCell ref="A459:A462"/>
    <mergeCell ref="D459:D462"/>
    <mergeCell ref="A474:A477"/>
    <mergeCell ref="D474:D477"/>
    <mergeCell ref="A486:A489"/>
    <mergeCell ref="D486:D489"/>
    <mergeCell ref="E12:F12"/>
    <mergeCell ref="A247:A250"/>
    <mergeCell ref="D247:D250"/>
    <mergeCell ref="A217:A220"/>
    <mergeCell ref="D217:D220"/>
    <mergeCell ref="A232:A235"/>
    <mergeCell ref="D232:D235"/>
    <mergeCell ref="A262:A265"/>
    <mergeCell ref="D262:D265"/>
    <mergeCell ref="A61:A64"/>
    <mergeCell ref="D61:D64"/>
    <mergeCell ref="A72:A75"/>
    <mergeCell ref="D72:D75"/>
    <mergeCell ref="A50:A53"/>
    <mergeCell ref="D50:D53"/>
    <mergeCell ref="A17:A20"/>
    <mergeCell ref="D17:D20"/>
    <mergeCell ref="A28:A31"/>
    <mergeCell ref="D28:D31"/>
    <mergeCell ref="A39:A42"/>
    <mergeCell ref="D39:D42"/>
    <mergeCell ref="A116:A119"/>
    <mergeCell ref="D116:D119"/>
    <mergeCell ref="A127:A130"/>
    <mergeCell ref="A1:A4"/>
    <mergeCell ref="E6:F6"/>
    <mergeCell ref="E7:F7"/>
    <mergeCell ref="B2:E2"/>
    <mergeCell ref="B3:E3"/>
    <mergeCell ref="E9:F9"/>
    <mergeCell ref="E8:F8"/>
    <mergeCell ref="E10:F10"/>
    <mergeCell ref="E11:F11"/>
    <mergeCell ref="D127:D130"/>
    <mergeCell ref="A138:A141"/>
    <mergeCell ref="D138:D141"/>
    <mergeCell ref="A83:A86"/>
    <mergeCell ref="D83:D86"/>
    <mergeCell ref="A94:A97"/>
    <mergeCell ref="D94:D97"/>
    <mergeCell ref="A105:A108"/>
    <mergeCell ref="D105:D108"/>
    <mergeCell ref="A509:A512"/>
    <mergeCell ref="D509:D512"/>
    <mergeCell ref="A559:A562"/>
    <mergeCell ref="D559:D562"/>
    <mergeCell ref="A608:A611"/>
    <mergeCell ref="D608:D611"/>
    <mergeCell ref="A200:A203"/>
    <mergeCell ref="D200:D203"/>
    <mergeCell ref="A149:A152"/>
    <mergeCell ref="D149:D152"/>
    <mergeCell ref="A166:A169"/>
    <mergeCell ref="D166:D169"/>
    <mergeCell ref="A183:A186"/>
    <mergeCell ref="D183:D186"/>
    <mergeCell ref="A277:A280"/>
    <mergeCell ref="D277:D280"/>
    <mergeCell ref="A307:A310"/>
    <mergeCell ref="D307:D310"/>
    <mergeCell ref="A336:A339"/>
    <mergeCell ref="D336:D339"/>
    <mergeCell ref="A365:A368"/>
    <mergeCell ref="D365:D368"/>
    <mergeCell ref="A389:A392"/>
    <mergeCell ref="D389:D392"/>
    <mergeCell ref="A738:A741"/>
    <mergeCell ref="D738:D741"/>
    <mergeCell ref="A754:A757"/>
    <mergeCell ref="D754:D757"/>
    <mergeCell ref="A770:A773"/>
    <mergeCell ref="D770:D773"/>
    <mergeCell ref="A657:A660"/>
    <mergeCell ref="D657:D660"/>
    <mergeCell ref="A705:A708"/>
    <mergeCell ref="D705:D708"/>
    <mergeCell ref="A722:A725"/>
    <mergeCell ref="D722:D725"/>
    <mergeCell ref="A918:A921"/>
    <mergeCell ref="D918:D921"/>
    <mergeCell ref="A850:A853"/>
    <mergeCell ref="D850:D853"/>
    <mergeCell ref="A873:A876"/>
    <mergeCell ref="D873:D876"/>
    <mergeCell ref="A895:A898"/>
    <mergeCell ref="D895:D898"/>
    <mergeCell ref="A792:A795"/>
    <mergeCell ref="D792:D795"/>
    <mergeCell ref="A812:A815"/>
    <mergeCell ref="D812:D815"/>
    <mergeCell ref="A832:A835"/>
    <mergeCell ref="D832:D835"/>
    <mergeCell ref="A1743:A1746"/>
    <mergeCell ref="D1743:D1746"/>
    <mergeCell ref="A1755:A1758"/>
    <mergeCell ref="D1755:D1758"/>
    <mergeCell ref="A1767:A1770"/>
    <mergeCell ref="D1767:D1770"/>
    <mergeCell ref="A1779:A1782"/>
    <mergeCell ref="D1779:D1782"/>
    <mergeCell ref="A1791:A1794"/>
    <mergeCell ref="D1791:D1794"/>
    <mergeCell ref="A1803:A1806"/>
    <mergeCell ref="D1803:D1806"/>
    <mergeCell ref="A1815:A1818"/>
    <mergeCell ref="D1815:D1818"/>
    <mergeCell ref="A1827:A1830"/>
    <mergeCell ref="D1827:D1830"/>
    <mergeCell ref="A1839:A1842"/>
    <mergeCell ref="D1839:D1842"/>
    <mergeCell ref="A1864:A1867"/>
    <mergeCell ref="D1864:D1867"/>
    <mergeCell ref="A1889:A1892"/>
    <mergeCell ref="D1889:D1892"/>
    <mergeCell ref="A1914:A1917"/>
    <mergeCell ref="D1914:D1917"/>
    <mergeCell ref="A1939:A1942"/>
    <mergeCell ref="D1939:D1942"/>
    <mergeCell ref="A1952:A1955"/>
    <mergeCell ref="D1952:D1955"/>
    <mergeCell ref="A1965:A1968"/>
    <mergeCell ref="D1965:D1968"/>
    <mergeCell ref="A2039:A2042"/>
    <mergeCell ref="D2039:D2042"/>
    <mergeCell ref="A2051:A2054"/>
    <mergeCell ref="D2051:D2054"/>
    <mergeCell ref="A2063:A2066"/>
    <mergeCell ref="D2063:D2066"/>
    <mergeCell ref="A2075:A2078"/>
    <mergeCell ref="D2075:D2078"/>
    <mergeCell ref="A1978:A1981"/>
    <mergeCell ref="D1978:D1981"/>
    <mergeCell ref="A1991:A1994"/>
    <mergeCell ref="D1991:D1994"/>
    <mergeCell ref="A2003:A2006"/>
    <mergeCell ref="D2003:D2006"/>
    <mergeCell ref="A2015:A2018"/>
    <mergeCell ref="D2015:D2018"/>
    <mergeCell ref="A2027:A2030"/>
    <mergeCell ref="D2027:D203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8 C149 C166 C183 C200 C217 C232 C247 C262 C277 C307 C336 C365 C389 C410 C427 C444 C459 C474 C486 C498 C509 C559 C608 C657 C705 C722 C738 C754 C770 C792 C812 C832 C850 C873 C895 C918 C941 C957 C972 C987 C1004 C1029 C1049 C1074 C1094 C1106 C1118 C1130 C1143 C1155 C1167 C1179 C1192 C1204 C1217 C1228 C1239 C1250 C1264 C1277 C1291 C1303 C1315 C1327 C1339 C1351 C1363 C1375 C1387 C1399 C1411 C1423 C1435 C1447 C1459 C1471 C1484 C1497 C1510 C1523 C1537 C1551 C1565 C1579 C1591 C1603 C1615 C1627 C1644 C1661 C1678 C1695 C1707 C1719 C1731 C1743 C1755 C1767 C1779 C1791 C1803 C1815 C1827 C1839 C1864 C1889 C1914 C1939 C1952 C1965 C1978 C1991 C2003 C2015 C2027 C2039 C2051 C2063 C2075" xr:uid="{00000000-0002-0000-0100-000003000000}">
      <formula1>C19</formula1>
    </dataValidation>
    <dataValidation type="date" operator="greaterThanOrEqual" allowBlank="1" showInputMessage="1" showErrorMessage="1" sqref="C19 C30 C41 C52 C63 C74 C85 C96 C107 C118 C129 C140 C151 C168 C185 C202 C219 C234 C249 C264 C279 C309 C338 C367 C391 C412 C429 C446 C461 C476 C488 C500 C511 C561 C610 C659 C707 C724 C740 C756 C772 C794 C814 C834 C852 C875 C897 C920 C943 C959 C974 C989 C1006 C1031 C1051 C1076 C1096 C1108 C1120 C1132 C1145 C1157 C1169 C1181 C1194 C1206 C1219 C1230 C1241 C1252 C1266 C1279 C1293 C1305 C1317 C1329 C1341 C1353 C1365 C1377 C1389 C1401 C1413 C1425 C1437 C1449 C1461 C1473 C1486 C1499 C1512 C1525 C1539 C1553 C1567 C1581 C1593 C1605 C1617 C1629 C1646 C1663 C1680 C1697 C1709 C1721 C1733 C1745 C1757 C1769 C1781 C1793 C1805 C1817 C1829 C1841 C1866 C1891 C1916 C1941 C1954 C1967 C1980 C1993 C2005 C2017 C2029 C2041 C2053 C2065 C2077" xr:uid="{00000000-0002-0000-0100-000004000000}">
      <formula1>C17</formula1>
    </dataValidation>
    <dataValidation type="list" allowBlank="1" showInputMessage="1" showErrorMessage="1" sqref="F17 F28 F39 F50 F61 F72 F83 F94 F105 F116 F127 F138 F149 F166 F183 F200 F217 F232 F247 F262 F277 F307 F336 F365 F389 F410 F427 F444 F459 F474 F486 F498 F509 F559 F608 F657 F705 F722 F738 F754 F770 F792 F812 F832 F850 F873 F895 F918 F941 F957 F972 F987 F1004 F1029 F1049 F1074 F1094 F1106 F1118 F1130 F1143 F1155 F1167 F1179 F1192 F1204 F1217 F1228 F1239 F1250 F1264 F1277 F1291 F1303 F1315 F1327 F1339 F1351 F1363 F1375 F1387 F1399 F1411 F1423 F1435 F1447 F1459 F1471 F1484 F1497 F1510 F1523 F1537 F1551 F1565 F1579 F1591 F1603 F1615 F1627 F1644 F1661 F1678 F1695 F1707 F1719 F1731 F1743 F1755 F1767 F1779 F1791 F1803 F1815 F1827 F1839 F1864 F1889 F1914 F1939 F1952 F1965 F1978 F1991 F2003 F2015 F2027 F2039 F2051 F2063 F2075" xr:uid="{00000000-0002-0000-0100-000005000000}">
      <formula1>IF(INDIRECT(ADDRESS(ROW()+1,COLUMN(),4))="",RegionList,INDEX(RegionColumn,MATCH(INDIRECT(ADDRESS(ROW()+1,COLUMN(),4)),ProvinciaList,0)))</formula1>
    </dataValidation>
    <dataValidation type="list" allowBlank="1" showInputMessage="1" showErrorMessage="1" sqref="F18 F29 F40 F51 F62 F73 F84 F95 F106 F117 F128 F139 F150 F167 F184 F201 F218 F233 F248 F263 F278 F308 F337 F366 F390 F411 F428 F445 F460 F475 F487 F499 F510 F560 F609 F658 F706 F723 F739 F755 F771 F793 F813 F833 F851 F874 F896 F919 F942 F958 F973 F988 F1005 F1030 F1050 F1075 F1095 F1107 F1119 F1131 F1144 F1156 F1168 F1180 F1193 F1205 F1218 F1229 F1240 F1251 F1265 F1278 F1292 F1304 F1316 F1328 F1340 F1352 F1364 F1376 F1388 F1400 F1412 F1424 F1436 F1448 F1460 F1472 F1485 F1498 F1511 F1524 F1538 F1552 F1566 F1580 F1592 F1604 F1616 F1628 F1645 F1662 F1679 F1696 F1708 F1720 F1732 F1744 F1756 F1768 F1780 F1792 F1804 F1816 F1828 F1840 F1865 F1890 F1915 F1940 F1953 F1966 F1979 F1992 F2004 F2016 F2028 F2040 F2052 F2064 F207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8 F185 F202 F219 F234 F249 F264 F279 F309 F338 F367 F391 F412 F429 F446 F461 F476 F488 F500 F511 F561 F610 F659 F707 F724 F740 F756 F772 F794 F814 F834 F852 F875 F897 F920 F943 F959 F974 F989 F1006 F1031 F1051 F1076 F1096 F1108 F1120 F1132 F1145 F1157 F1169 F1181 F1194 F1206 F1219 F1230 F1241 F1252 F1266 F1279 F1293 F1305 F1317 F1329 F1341 F1353 F1365 F1377 F1389 F1401 F1413 F1425 F1437 F1449 F1461 F1473 F1486 F1499 F1512 F1525 F1539 F1553 F1567 F1581 F1593 F1605 F1617 F1629 F1646 F1663 F1680 F1697 F1709 F1721 F1733 F1745 F1757 F1769 F1781 F1793 F1805 F1817 F1829 F1841 F1866 F1891 F1916 F1941 F1954 F1967 F1980 F1993 F2005 F2017 F2029 F2041 F2053 F2065 F207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9 F186 F203 F220 F235 F250 F265 F280 F310 F339 F368 F392 F413 F430 F447 F462 F477 F489 F501 F512 F562 F611 F660 F708 F725 F741 F757 F773 F795 F815 F835 F853 F876 F898 F921 F944 F960 F975 F990 F1007 F1032 F1052 F1077 F1097 F1109 F1121 F1133 F1146 F1158 F1170 F1182 F1195 F1207 F1220 F1231 F1242 F1253 F1267 F1280 F1294 F1306 F1318 F1330 F1342 F1354 F1366 F1378 F1390 F1402 F1414 F1426 F1438 F1450 F1462 F1474 F1487 F1500 F1513 F1526 F1540 F1554 F1568 F1582 F1594 F1606 F1618 F1630 F1647 F1664 F1681 F1698 F1710 F1722 F1734 F1746 F1758 F1770 F1782 F1794 F1806 F1818 F1830 F1842 F1867 F1892 F1917 F1942 F1955 F1968 F1981 F1994 F2006 F2018 F2030 F2042 F2054 F2066 F207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89:A195 A155:A161 A172:A178 A206:A212 A238:A242 A223:A227 A253:A257 A268:A272 A283:A302 A313:A331 A342:A360 A371:A384 A395:A405 A416:A422 A433:A439 A450:A454 A515:A554 A465:A469 A480:A481 A614:A652 A565:A603 A492:A493 A504 A663:A700 A711:A717 A728:A733 A744:A749 A760:A765 A776:A787 A798:A807 A818:A827 A838:A845 A947:A952 A963:A967 A978:A982 A993:A999 A1010:A1024 A1035:A1044 A1055:A1069 A1080:A1089 A1100:A1101 A1112:A1113 A1124:A1125 A1136:A1138 A1149:A1150 A1161:A1162 A1173:A1174 A1185:A1187 A1198:A1199 A1210:A1212 A1223 A1234 A1245 A1256:A1259 A856:A868 A1270:A1272 A879:A890 A901:A913 A924:A936 A1283:A1286 A1297:A1298 A1309:A1310 A1321:A1322 A1333:A1334 A1345:A1346 A1357:A1358 A1369:A1370 A1381:A1382 A1393:A1394 A1405:A1406 A1417:A1418 A1429:A1430 A1441:A1442 A1453:A1454 A1465:A1466 A1477:A1479 A1490:A1492 A1503:A1505 A1516:A1518 A1529:A1532 A1543:A1546 A1557:A1560 A1571:A1574 A1585:A1586 A1597:A1598 A1609:A1610 A1621:A1622 A1633:A1639 A1650:A1656 A1667:A1673 A1684:A1690 A1701:A1702 A1713:A1714 A1725:A1726 A1737:A1738 A1749:A1750 A1761:A1762 A1773:A1774 A1785:A1786 A1797:A1798 A1809:A1810 A1821:A1822 A1833:A1834 A1845:A1859 A1870:A1884 A1895:A1909 A1920:A1934 A1945:A1947 A1958:A1960 A1971:A1973 A1984:A1986 A1997:A1998 A2009:A2010 A2021:A2022 A2033:A2034 A2045:A2046 A2057:A2058 A2069:A2070 A2081:A2082" xr:uid="{00000000-0002-0000-0100-000009000000}">
      <formula1>0</formula1>
    </dataValidation>
    <dataValidation type="list" allowBlank="1" showInputMessage="1" showErrorMessage="1" sqref="C23 C34 C45 C56 C67 C78 C89 C100 C111 C122 C133 C144 C189:C195 C155:C161 C172:C178 C206:C212 C238:C242 C223:C227 C253:C257 C268:C272 C283:C302 C313:C331 C342:C360 C371:C384 C395:C405 C416:C422 C433:C439 C450:C454 C515:C554 C465:C469 C480:C481 C614:C652 C565:C603 C492:C493 C504 C663:C700 C711:C717 C728:C733 C744:C749 C760:C765 C776:C787 C798:C807 C818:C827 C838:C845 C947:C952 C963:C967 C978:C982 C993:C999 C1010:C1024 C1035:C1044 C1055:C1069 C1080:C1089 C1100:C1101 C1112:C1113 C1124:C1125 C1136:C1138 C1149:C1150 C1161:C1162 C1173:C1174 C1185:C1187 C1198:C1199 C1210:C1212 C1223 C1234 C1245 C1256:C1259 C856:C868 C1270:C1272 C879:C890 C901:C913 C924:C936 C1283:C1286 C1297:C1298 C1309:C1310 C1321:C1322 C1333:C1334 C1345:C1346 C1357:C1358 C1369:C1370 C1381:C1382 C1393:C1394 C1405:C1406 C1417:C1418 C1429:C1430 C1441:C1442 C1453:C1454 C1465:C1466 C1477:C1479 C1490:C1492 C1503:C1505 C1516:C1518 C1529:C1532 C1543:C1546 C1557:C1560 C1571:C1574 C1585:C1586 C1597:C1598 C1609:C1610 C1621:C1622 C1633:C1639 C1650:C1656 C1667:C1673 C1684:C1690 C1701:C1702 C1713:C1714 C1725:C1726 C1737:C1738 C1749:C1750 C1761:C1762 C1773:C1774 C1785:C1786 C1797:C1798 C1809:C1810 C1821:C1822 C1833:C1834 C1845:C1859 C1870:C1884 C1895:C1909 C1920:C1934 C1945:C1947 C1958:C1960 C1971:C1973 C1984:C1986 C1997:C1998 C2009:C2010 C2021:C2022 C2033:C2034 C2045:C2046 C2057:C2058 C2069:C2070 C2081:C2082" xr:uid="{00000000-0002-0000-0100-00000A000000}">
      <formula1>UnidadesList</formula1>
    </dataValidation>
    <dataValidation type="decimal" operator="greaterThan" allowBlank="1" showInputMessage="1" showErrorMessage="1" sqref="D23:E23 D34:E34 D45:E45 D56:E56 D67:E67 D78:E78 D89:E89 D100:E100 D111:E111 D122:E122 D133:E133 D144:E144 D189:E195 D155:E161 D172:E178 D206:E212 D238:E242 D223:E227 D253:E257 D268:E272 D283:E302 D313:E331 D342:E360 D371:E384 D395:E405 D416:E422 D433:E439 D450:E454 D515:E554 D465:E469 D480:E481 D614:E652 D565:E603 D492:E493 D504:E504 D663:E700 D711:E717 D728:E733 D744:E749 D760:E765 D776:E787 D798:E807 D818:E827 D838:E845 D947:E952 D963:E967 D978:E982 D993:E999 D1010:E1024 D1035:E1044 D1055:E1069 D1080:E1089 D1100:E1101 D1112:E1113 D1124:E1125 D1136:E1138 D1149:E1150 D1161:E1162 D1173:E1174 D1185:E1187 D1198:E1199 D1210:E1212 D1223:E1223 D1234:E1234 D1245:E1245 D1256:E1259 D856:E868 D1270:E1272 D879:E890 D901:E913 D924:E936 D1283:E1286 D1297:E1298 D1309:E1310 D1321:E1322 D1333:E1334 D1345:E1346 D1357:E1358 D1369:E1370 D1381:E1382 D1393:E1394 D1405:E1406 D1417:E1418 D1429:E1430 D1441:E1442 D1453:E1454 D1465:E1466 D1477:E1479 D1490:E1492 D1503:E1505 D1516:E1518 D1529:E1532 D1543:E1546 D1557:E1560 D1571:E1574 D1585:E1586 D1597:E1598 D1609:E1610 D1621:E1622 D1633:E1639 D1650:E1656 D1667:E1673 D1684:E1690 D1701:E1702 D1713:E1714 D1725:E1726 D1737:E1738 D1749:E1750 D1761:E1762 D1773:E1774 D1785:E1786 D1797:E1798 D1809:E1810 D1821:E1822 D1833:E1834 D1845:E1859 D1870:E1884 D1895:E1909 D1920:E1934 D1945:E1947 D1958:E1960 D1971:E1973 D1984:E1986 D1997:E1998 D2009:E2010 D2021:E2022 D2033:E2034 D2045:E2046 D2057:E2058 D2069:E2070 D2081:E2082"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2086</xdr:row>
                    <xdr:rowOff>0</xdr:rowOff>
                  </from>
                  <to>
                    <xdr:col>1</xdr:col>
                    <xdr:colOff>457200</xdr:colOff>
                    <xdr:row>2087</xdr:row>
                    <xdr:rowOff>161925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0" r:id="rId11" name="Button 1086">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1" r:id="rId12" name="Button 1087">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2" r:id="rId13" name="Button 1088">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1" r:id="rId14" name="Button 1107">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2" r:id="rId15" name="Button 1108">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3" r:id="rId16" name="Button 1109">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77" r:id="rId17" name="Button 1213">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78" r:id="rId18" name="Button 1214">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79" r:id="rId19" name="Button 1215">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98" r:id="rId20" name="Button 1234">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99" r:id="rId21" name="Button 1235">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500" r:id="rId22" name="Button 1236">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519" r:id="rId23" name="Button 1255">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520" r:id="rId24" name="Button 1256">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521" r:id="rId25" name="Button 1257">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540" r:id="rId26" name="Button 1276">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41" r:id="rId27" name="Button 1277">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42" r:id="rId28" name="Button 1278">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62" r:id="rId29" name="Button 1298">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63" r:id="rId30" name="Button 129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64" r:id="rId31" name="Button 1300">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83" r:id="rId32" name="Button 1319">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84" r:id="rId33" name="Button 1320">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85" r:id="rId34" name="Button 1321">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604" r:id="rId35" name="Button 1340">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05" r:id="rId36" name="Button 1341">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06" r:id="rId37" name="Button 1342">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25" r:id="rId38" name="Button 1361">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26" r:id="rId39" name="Button 1362">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627" r:id="rId40" name="Button 1363">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47" r:id="rId41" name="Button 1383">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48" r:id="rId42" name="Button 1384">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49" r:id="rId43" name="Button 1385">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668" r:id="rId44" name="Button 1404">
              <controlPr locked="0" defaultSize="0" print="0" autoFill="0" autoPict="0" macro="[0]!Sheet1.InsertNewTabl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69" r:id="rId45" name="Button 1405">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70" r:id="rId46" name="Button 1406">
              <controlPr locked="0" defaultSize="0" print="0" autoFill="0" autoPict="0" macro="[0]!Sheet1.deleteProcedure">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89" r:id="rId47" name="Button 1425">
              <controlPr locked="0" defaultSize="0" print="0" autoFill="0" autoPict="0" macro="[0]!Sheet1.InsertNewTabl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90" r:id="rId48" name="Button 1426">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91" r:id="rId49" name="Button 1427">
              <controlPr locked="0" defaultSize="0" print="0" autoFill="0" autoPict="0" macro="[0]!Sheet1.deleteProcedure">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710" r:id="rId50" name="Button 1446">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711" r:id="rId51" name="Button 1447">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12" r:id="rId52" name="Button 1448">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13" r:id="rId53" name="Button 1449">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714" r:id="rId54" name="Button 1450">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715" r:id="rId55" name="Button 1451">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716" r:id="rId56" name="Button 1452">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717" r:id="rId57" name="Button 1453">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718" r:id="rId58" name="Button 1454">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720" r:id="rId59" name="Button 1456">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721" r:id="rId60" name="Button 1457">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22" r:id="rId61" name="Button 1458">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723" r:id="rId62" name="Button 1459">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24" r:id="rId63" name="Button 1460">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25" r:id="rId64" name="Button 1461">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726" r:id="rId65" name="Button 1462">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727" r:id="rId66" name="Button 1463">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728" r:id="rId67" name="Button 1464">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29" r:id="rId68" name="Button 146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30" r:id="rId69" name="Button 146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31" r:id="rId70" name="Button 146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32" r:id="rId71" name="Button 1468">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733" r:id="rId72" name="Button 1469">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734" r:id="rId73" name="Button 1470">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35" r:id="rId74" name="Button 1471">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736" r:id="rId75" name="Button 1472">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737" r:id="rId76" name="Button 1473">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861" r:id="rId77" name="Button 1597">
              <controlPr locked="0" defaultSize="0" print="0" autoFill="0" autoPict="0" macro="[0]!Sheet1.InsertNewTabl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862" r:id="rId78" name="Button 1598">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863" r:id="rId79" name="Button 1599">
              <controlPr locked="0" defaultSize="0" print="0" autoFill="0" autoPict="0" macro="[0]!Sheet1.deleteProcedure">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882" r:id="rId80" name="Button 1618">
              <controlPr locked="0" defaultSize="0" print="0" autoFill="0" autoPict="0" macro="[0]!Sheet1.InsertNewTabl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883" r:id="rId81" name="Button 1619">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884" r:id="rId82" name="Button 1620">
              <controlPr locked="0" defaultSize="0" print="0" autoFill="0" autoPict="0" macro="[0]!Sheet1.deleteProcedure">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903" r:id="rId83" name="Button 1639">
              <controlPr locked="0" defaultSize="0" print="0" autoFill="0" autoPict="0" macro="[0]!Sheet1.InsertNewTabl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904" r:id="rId84" name="Button 1640">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905" r:id="rId85" name="Button 1641">
              <controlPr locked="0" defaultSize="0" print="0" autoFill="0" autoPict="0" macro="[0]!Sheet1.deleteProcedure">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907" r:id="rId86" name="Button 1643">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908" r:id="rId87" name="Button 1644">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909" r:id="rId88" name="Button 1645">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910" r:id="rId89" name="Button 1646">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911" r:id="rId90" name="Button 164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912" r:id="rId91" name="Button 164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913" r:id="rId92" name="Button 164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914" r:id="rId93" name="Button 165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915" r:id="rId94" name="Button 1651">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916" r:id="rId95" name="Button 1652">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918" r:id="rId96" name="Button 1654">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919" r:id="rId97" name="Button 1655">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938" r:id="rId98" name="Button 1674">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939" r:id="rId99" name="Button 1675">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940" r:id="rId100" name="Button 1676">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941" r:id="rId101" name="Button 1677">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942" r:id="rId102" name="Button 1678">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943" r:id="rId103" name="Button 1679">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944" r:id="rId104" name="Button 1680">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963" r:id="rId105" name="Button 1699">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64" r:id="rId106" name="Button 1700">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965" r:id="rId107" name="Button 1701">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967" r:id="rId108" name="Button 1703">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969" r:id="rId109" name="Button 1705">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70" r:id="rId110" name="Button 1706">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971" r:id="rId111" name="Button 1707">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972" r:id="rId112" name="Button 1708">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73" r:id="rId113" name="Button 1709">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74" r:id="rId114" name="Button 1710">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975" r:id="rId115" name="Button 1711">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76" r:id="rId116" name="Button 1712">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77" r:id="rId117" name="Button 1713">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78" r:id="rId118" name="Button 1714">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79" r:id="rId119" name="Button 1715">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80" r:id="rId120" name="Button 1716">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81" r:id="rId121" name="Button 1717">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82" r:id="rId122" name="Button 1718">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83" r:id="rId123" name="Button 1719">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84" r:id="rId124" name="Button 1720">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88" r:id="rId125" name="Button 1724">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89" r:id="rId126" name="Button 172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3008" r:id="rId127" name="Button 1744">
              <controlPr locked="0" defaultSize="0" print="0" autoFill="0" autoPict="0" macro="[0]!Sheet1.InsertNewTabl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3009" r:id="rId128" name="Button 1745">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3010" r:id="rId129" name="Button 1746">
              <controlPr locked="0" defaultSize="0" print="0" autoFill="0" autoPict="0" macro="[0]!Sheet1.deleteProcedure">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3011" r:id="rId130" name="Button 1747">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012" r:id="rId131" name="Button 1748">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3013" r:id="rId132" name="Button 1749">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3014" r:id="rId133" name="Button 1750">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015" r:id="rId134" name="Button 1751">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3016" r:id="rId135" name="Button 1752">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3017" r:id="rId136" name="Button 1753">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3018" r:id="rId137" name="Button 1754">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019" r:id="rId138" name="Button 1755">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020" r:id="rId139" name="Button 1756">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021" r:id="rId140" name="Button 1757">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022" r:id="rId141" name="Button 1758">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023" r:id="rId142" name="Button 1759">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024" r:id="rId143" name="Button 1760">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025" r:id="rId144" name="Button 1761">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026" r:id="rId145" name="Button 1762">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3027" r:id="rId146" name="Button 1763">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028" r:id="rId147" name="Button 1764">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047" r:id="rId148" name="Button 1783">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048" r:id="rId149" name="Button 1784">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049" r:id="rId150" name="Button 1785">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051" r:id="rId151" name="Button 1787">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052" r:id="rId152" name="Button 1788">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053" r:id="rId153" name="Button 1789">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054" r:id="rId154" name="Button 1790">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055" r:id="rId155" name="Button 1791">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056" r:id="rId156" name="Button 1792">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057" r:id="rId157" name="Button 1793">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58" r:id="rId158" name="Button 1794">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59" r:id="rId159" name="Button 1795">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60" r:id="rId160" name="Button 1796">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61" r:id="rId161" name="Button 1797">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62" r:id="rId162" name="Button 1798">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064" r:id="rId163" name="Button 1800">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65" r:id="rId164" name="Button 1801">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66" r:id="rId165" name="Button 1802">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67" r:id="rId166" name="Button 1803">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68" r:id="rId167" name="Button 1804">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69" r:id="rId168" name="Button 1805">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88" r:id="rId169" name="Button 1824">
              <controlPr locked="0" defaultSize="0" print="0" autoFill="0" autoPict="0" macro="[0]!Sheet1.InsertNewTabl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89" r:id="rId170" name="Button 1825">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90" r:id="rId171" name="Button 1826">
              <controlPr locked="0" defaultSize="0" print="0" autoFill="0" autoPict="0" macro="[0]!Sheet1.deleteProcedure">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91" r:id="rId172" name="Button 182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92" r:id="rId173" name="Button 182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93" r:id="rId174" name="Button 182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94" r:id="rId175" name="Button 183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095" r:id="rId176" name="Button 183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096" r:id="rId177" name="Button 1832">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97" r:id="rId178" name="Button 1833">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98" r:id="rId179" name="Button 183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99" r:id="rId180" name="Button 183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100" r:id="rId181" name="Button 1836">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102" r:id="rId182" name="Button 1838">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103" r:id="rId183" name="Button 183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104" r:id="rId184" name="Button 184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23" r:id="rId185" name="Button 1859">
              <controlPr locked="0" defaultSize="0" print="0" autoFill="0" autoPict="0" macro="[0]!Sheet1.InsertNewTabl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124" r:id="rId186" name="Button 1860">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125" r:id="rId187" name="Button 1861">
              <controlPr locked="0" defaultSize="0" print="0" autoFill="0" autoPict="0" macro="[0]!Sheet1.deleteProcedure">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127" r:id="rId188" name="Button 186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128" r:id="rId189" name="Button 186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29" r:id="rId190" name="Button 186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30" r:id="rId191" name="Button 186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31" r:id="rId192" name="Button 186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32" r:id="rId193" name="Button 186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33" r:id="rId194" name="Button 186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34" r:id="rId195" name="Button 187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135" r:id="rId196" name="Button 187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36" r:id="rId197" name="Button 187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55" r:id="rId198" name="Button 1891">
              <controlPr locked="0" defaultSize="0" print="0" autoFill="0" autoPict="0" macro="[0]!Sheet1.InsertNewTabl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56" r:id="rId199" name="Button 189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157" r:id="rId200" name="Button 1893">
              <controlPr locked="0" defaultSize="0" print="0" autoFill="0" autoPict="0" macro="[0]!Sheet1.deleteProcedure">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58" r:id="rId201" name="Button 1894">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59" r:id="rId202" name="Button 189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160" r:id="rId203" name="Button 189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161" r:id="rId204" name="Button 189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62" r:id="rId205" name="Button 1898">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63" r:id="rId206" name="Button 1899">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82" r:id="rId207" name="Button 1918">
              <controlPr locked="0" defaultSize="0" print="0" autoFill="0" autoPict="0" macro="[0]!Sheet1.InsertNewTabl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83" r:id="rId208" name="Button 191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84" r:id="rId209" name="Button 1920">
              <controlPr locked="0" defaultSize="0" print="0" autoFill="0" autoPict="0" macro="[0]!Sheet1.deleteProcedure">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85" r:id="rId210" name="Button 1921">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86" r:id="rId211" name="Button 1922">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87" r:id="rId212" name="Button 1923">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88" r:id="rId213" name="Button 192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89" r:id="rId214" name="Button 1925">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91" r:id="rId215" name="Button 1927">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210" r:id="rId216" name="Button 1946">
              <controlPr locked="0" defaultSize="0" print="0" autoFill="0" autoPict="0" macro="[0]!Sheet1.InsertNewTabl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11" r:id="rId217" name="Button 1947">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12" r:id="rId218" name="Button 1948">
              <controlPr locked="0" defaultSize="0" print="0" autoFill="0" autoPict="0" macro="[0]!Sheet1.deleteProcedure">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213" r:id="rId219" name="Button 1949">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14" r:id="rId220" name="Button 1950">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15" r:id="rId221" name="Button 1951">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16" r:id="rId222" name="Button 1952">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36" r:id="rId223" name="Button 1972">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38" r:id="rId224" name="Button 1974">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41" r:id="rId225" name="Button 1977">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42" r:id="rId226" name="Button 1978">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43" r:id="rId227" name="Button 1979">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44" r:id="rId228" name="Button 1980">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45" r:id="rId229" name="Button 1981">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66" r:id="rId230" name="Button 2002">
              <controlPr locked="0" defaultSize="0" print="0" autoFill="0" autoPict="0" macro="[0]!Sheet1.InsertNewTabl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68" r:id="rId231" name="Button 2004">
              <controlPr locked="0" defaultSize="0" print="0" autoFill="0" autoPict="0" macro="[0]!Sheet1.deleteProcedure">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269" r:id="rId232" name="Button 200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70" r:id="rId233" name="Button 2006">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90" r:id="rId234" name="Button 2026">
              <controlPr locked="0" defaultSize="0" print="0" autoFill="0" autoPict="0" macro="[0]!Sheet1.InsertNewTabl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92" r:id="rId235" name="Button 2028">
              <controlPr locked="0" defaultSize="0" print="0" autoFill="0" autoPict="0" macro="[0]!Sheet1.deleteProcedure">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93" r:id="rId236" name="Button 202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94" r:id="rId237" name="Button 203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10" r:id="rId238" name="Button 2050">
              <controlPr locked="0" defaultSize="0" print="0" autoFill="0" autoPict="0" macro="[0]!Sheet1.InsertNewTabl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12" r:id="rId239" name="Button 2052">
              <controlPr locked="0" defaultSize="0" print="0" autoFill="0" autoPict="0" macro="[0]!Sheet1.deleteProcedure">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413" r:id="rId240" name="Button 2053">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32" r:id="rId241" name="Button 2072">
              <controlPr locked="0" defaultSize="0" print="0" autoFill="0" autoPict="0" macro="[0]!Sheet1.InsertNewTabl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33" r:id="rId242" name="Button 2073">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434" r:id="rId243" name="Button 2074">
              <controlPr locked="0" defaultSize="0" print="0" autoFill="0" autoPict="0" macro="[0]!Sheet1.deleteProcedure">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35" r:id="rId244" name="Button 2075">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36" r:id="rId245" name="Button 2076">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37" r:id="rId246" name="Button 2077">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438" r:id="rId247" name="Button 2078">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439" r:id="rId248" name="Button 2079">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40" r:id="rId249" name="Button 2080">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41" r:id="rId250" name="Button 2081">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42" r:id="rId251" name="Button 2082">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443" r:id="rId252" name="Button 208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444" r:id="rId253" name="Button 2084">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45" r:id="rId254" name="Button 2085">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46" r:id="rId255" name="Button 2086">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47" r:id="rId256" name="Button 2087">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48" r:id="rId257" name="Button 208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49" r:id="rId258" name="Button 2089">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50" r:id="rId259" name="Button 2090">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51" r:id="rId260" name="Button 2091">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52" r:id="rId261" name="Button 2092">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53" r:id="rId262" name="Button 209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54" r:id="rId263" name="Button 2094">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55" r:id="rId264" name="Button 209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56" r:id="rId265" name="Button 209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457" r:id="rId266" name="Button 2097">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59" r:id="rId267" name="Button 2099">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60" r:id="rId268" name="Button 2100">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461" r:id="rId269" name="Button 2101">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462" r:id="rId270" name="Button 2102">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63" r:id="rId271" name="Button 2103">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64" r:id="rId272" name="Button 210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65" r:id="rId273" name="Button 2105">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66" r:id="rId274" name="Button 2106">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467" r:id="rId275" name="Button 2107">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68" r:id="rId276" name="Button 2108">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69" r:id="rId277" name="Button 2109">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70" r:id="rId278" name="Button 2110">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71" r:id="rId279" name="Button 2111">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72" r:id="rId280" name="Button 2112">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73" r:id="rId281" name="Button 2113">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74" r:id="rId282" name="Button 2114">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15" r:id="rId283" name="Button 2155">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516" r:id="rId284" name="Button 2156">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17" r:id="rId285" name="Button 2157">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518" r:id="rId286" name="Button 2158">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519" r:id="rId287" name="Button 2159">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520" r:id="rId288" name="Button 2160">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521" r:id="rId289" name="Button 2161">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22" r:id="rId290" name="Button 2162">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523" r:id="rId291" name="Button 2163">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524" r:id="rId292" name="Button 2164">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25" r:id="rId293" name="Button 2165">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26" r:id="rId294" name="Button 2166">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27" r:id="rId295" name="Button 2167">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28" r:id="rId296" name="Button 2168">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29" r:id="rId297" name="Button 2169">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30" r:id="rId298" name="Button 2170">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31" r:id="rId299" name="Button 2171">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532" r:id="rId300" name="Button 2172">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33" r:id="rId301" name="Button 2173">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34" r:id="rId302" name="Button 2174">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535" r:id="rId303" name="Button 2175">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536" r:id="rId304" name="Button 2176">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37" r:id="rId305" name="Button 2177">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538" r:id="rId306" name="Button 2178">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539" r:id="rId307" name="Button 2179">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40" r:id="rId308" name="Button 2180">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41" r:id="rId309" name="Button 2181">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43" r:id="rId310" name="Button 2183">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44" r:id="rId311" name="Button 2184">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45" r:id="rId312" name="Button 218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47" r:id="rId313" name="Button 2187">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48" r:id="rId314" name="Button 2188">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549" r:id="rId315" name="Button 2189">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50" r:id="rId316" name="Button 2190">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51" r:id="rId317" name="Button 2191">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52" r:id="rId318" name="Button 2192">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53" r:id="rId319" name="Button 2193">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54" r:id="rId320" name="Button 2194">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55" r:id="rId321" name="Button 2195">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56" r:id="rId322" name="Button 2196">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75" r:id="rId323" name="Button 2215">
              <controlPr locked="0" defaultSize="0" print="0" autoFill="0" autoPict="0" macro="[0]!Sheet1.InsertNewTabl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76" r:id="rId324" name="Button 2216">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77" r:id="rId325" name="Button 2217">
              <controlPr locked="0" defaultSize="0" print="0" autoFill="0" autoPict="0" macro="[0]!Sheet1.deleteProcedure">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78" r:id="rId326" name="Button 2218">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579" r:id="rId327" name="Button 2219">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580" r:id="rId328" name="Button 2220">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581" r:id="rId329" name="Button 2221">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82" r:id="rId330" name="Button 222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83" r:id="rId331" name="Button 2223">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584" r:id="rId332" name="Button 222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85" r:id="rId333" name="Button 2225">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86" r:id="rId334" name="Button 2226">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587" r:id="rId335" name="Button 2227">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588" r:id="rId336" name="Button 222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589" r:id="rId337" name="Button 2229">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590" r:id="rId338" name="Button 2230">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591" r:id="rId339" name="Button 2231">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592" r:id="rId340" name="Button 2232">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93" r:id="rId341" name="Button 2233">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94" r:id="rId342" name="Button 2234">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595" r:id="rId343" name="Button 2235">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596" r:id="rId344" name="Button 2236">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97" r:id="rId345" name="Button 223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98" r:id="rId346" name="Button 2238">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99" r:id="rId347" name="Button 223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00" r:id="rId348" name="Button 2240">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01" r:id="rId349" name="Button 2241">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602" r:id="rId350" name="Button 224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03" r:id="rId351" name="Button 2243">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04" r:id="rId352" name="Button 224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605" r:id="rId353" name="Button 224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606" r:id="rId354" name="Button 224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07" r:id="rId355" name="Button 2247">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10" r:id="rId356" name="Button 2250">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11" r:id="rId357" name="Button 2251">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12" r:id="rId358" name="Button 2252">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31" r:id="rId359" name="Button 2271">
              <controlPr locked="0" defaultSize="0" print="0" autoFill="0" autoPict="0" macro="[0]!Sheet1.InsertNewTabl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32" r:id="rId360" name="Button 227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33" r:id="rId361" name="Button 2273">
              <controlPr locked="0" defaultSize="0" print="0" autoFill="0" autoPict="0" macro="[0]!Sheet1.deleteProcedure">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34" r:id="rId362" name="Button 2274">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635" r:id="rId363" name="Button 2275">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636" r:id="rId364" name="Button 2276">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37" r:id="rId365" name="Button 2277">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638" r:id="rId366" name="Button 2278">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39" r:id="rId367" name="Button 2279">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40" r:id="rId368" name="Button 2280">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41" r:id="rId369" name="Button 2281">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42" r:id="rId370" name="Button 2282">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643" r:id="rId371" name="Button 2283">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44" r:id="rId372" name="Button 2284">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45" r:id="rId373" name="Button 2285">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46" r:id="rId374" name="Button 2286">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47" r:id="rId375" name="Button 2287">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648" r:id="rId376" name="Button 2288">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649" r:id="rId377" name="Button 2289">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650" r:id="rId378" name="Button 2290">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651" r:id="rId379" name="Button 2291">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652" r:id="rId380" name="Button 2292">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53" r:id="rId381" name="Button 2293">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54" r:id="rId382" name="Button 2294">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55" r:id="rId383" name="Button 2295">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56" r:id="rId384" name="Button 2296">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657" r:id="rId385" name="Button 2297">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658" r:id="rId386" name="Button 2298">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59" r:id="rId387" name="Button 229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60" r:id="rId388" name="Button 2300">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61" r:id="rId389" name="Button 2301">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62" r:id="rId390" name="Button 2302">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663" r:id="rId391" name="Button 230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667" r:id="rId392" name="Button 2307">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68" r:id="rId393" name="Button 2308">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669" r:id="rId394" name="Button 2309">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670" r:id="rId395" name="Button 2310">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71" r:id="rId396" name="Button 231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72" r:id="rId397" name="Button 231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73" r:id="rId398" name="Button 231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74" r:id="rId399" name="Button 2314">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75" r:id="rId400" name="Button 2315">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77" r:id="rId401" name="Button 2317">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678" r:id="rId402" name="Button 2318">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679" r:id="rId403" name="Button 2319">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680" r:id="rId404" name="Button 2320">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699" r:id="rId405" name="Button 2339">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00" r:id="rId406" name="Button 2340">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701" r:id="rId407" name="Button 2341">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02" r:id="rId408" name="Button 234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03" r:id="rId409" name="Button 2343">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04" r:id="rId410" name="Button 2344">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05" r:id="rId411" name="Button 2345">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06" r:id="rId412" name="Button 2346">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07" r:id="rId413" name="Button 2347">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29" r:id="rId414" name="Button 2369">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730" r:id="rId415" name="Button 2370">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31" r:id="rId416" name="Button 2371">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732" r:id="rId417" name="Button 2372">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33" r:id="rId418" name="Button 2373">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734" r:id="rId419" name="Button 2374">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735" r:id="rId420" name="Button 2375">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736" r:id="rId421" name="Button 2376">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756" r:id="rId422" name="Button 2396">
              <controlPr locked="0" defaultSize="0" print="0" autoFill="0" autoPict="0" macro="[0]!Sheet1.InsertNewTabl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757" r:id="rId423" name="Button 2397">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758" r:id="rId424" name="Button 2398">
              <controlPr locked="0" defaultSize="0" print="0" autoFill="0" autoPict="0" macro="[0]!Sheet1.deleteProcedure">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759" r:id="rId425" name="Button 239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760" r:id="rId426" name="Button 2400">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761" r:id="rId427" name="Button 2401">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762" r:id="rId428" name="Button 2402">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763" r:id="rId429" name="Button 2403">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782" r:id="rId430" name="Button 2422">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783" r:id="rId431" name="Button 2423">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784" r:id="rId432" name="Button 2424">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785" r:id="rId433" name="Button 2425">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86" r:id="rId434" name="Button 2426">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787" r:id="rId435" name="Button 2427">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788" r:id="rId436" name="Button 2428">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789" r:id="rId437" name="Button 2429">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808" r:id="rId438" name="Button 2448">
              <controlPr locked="0" defaultSize="0" print="0" autoFill="0" autoPict="0" macro="[0]!Sheet1.InsertNewTabl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809" r:id="rId439" name="Button 244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810" r:id="rId440" name="Button 2450">
              <controlPr locked="0" defaultSize="0" print="0" autoFill="0" autoPict="0" macro="[0]!Sheet1.deleteProcedure">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812" r:id="rId441" name="Button 2452">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813" r:id="rId442" name="Button 2453">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814" r:id="rId443" name="Button 2454">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815" r:id="rId444" name="Button 2455">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816" r:id="rId445" name="Button 2456">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817" r:id="rId446" name="Button 245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818" r:id="rId447" name="Button 245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19" r:id="rId448" name="Button 2459">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20" r:id="rId449" name="Button 246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821" r:id="rId450" name="Button 2461">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822" r:id="rId451" name="Button 2462">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844" r:id="rId452" name="Button 2484">
              <controlPr locked="0" defaultSize="0" print="0" autoFill="0" autoPict="0" macro="[0]!Sheet1.InsertNewTabl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845" r:id="rId453" name="Button 2485">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846" r:id="rId454" name="Button 2486">
              <controlPr locked="0" defaultSize="0" print="0" autoFill="0" autoPict="0" macro="[0]!Sheet1.deleteProcedure">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847" r:id="rId455" name="Button 2487">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848" r:id="rId456" name="Button 2488">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849" r:id="rId457" name="Button 2489">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850" r:id="rId458" name="Button 2490">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851" r:id="rId459" name="Button 2491">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852" r:id="rId460" name="Button 2492">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853" r:id="rId461" name="Button 2493">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854" r:id="rId462" name="Button 2494">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855" r:id="rId463" name="Button 2495">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877" r:id="rId464" name="Button 2517">
              <controlPr locked="0" defaultSize="0" print="0" autoFill="0" autoPict="0" macro="[0]!Sheet1.InsertNewTabl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878" r:id="rId465" name="Button 2518">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879" r:id="rId466" name="Button 2519">
              <controlPr locked="0" defaultSize="0" print="0" autoFill="0" autoPict="0" macro="[0]!Sheet1.deleteProcedure">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880" r:id="rId467" name="Button 2520">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881" r:id="rId468" name="Button 2521">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882" r:id="rId469" name="Button 2522">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883" r:id="rId470" name="Button 2523">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884" r:id="rId471" name="Button 2524">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885" r:id="rId472" name="Button 2525">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886" r:id="rId473" name="Button 2526">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887" r:id="rId474" name="Button 2527">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888" r:id="rId475" name="Button 2528">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907" r:id="rId476" name="Button 2547">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908" r:id="rId477" name="Button 2548">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909" r:id="rId478" name="Button 2549">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910" r:id="rId479" name="Button 2550">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911" r:id="rId480" name="Button 2551">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912" r:id="rId481" name="Button 2552">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913" r:id="rId482" name="Button 2553">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914" r:id="rId483" name="Button 2554">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915" r:id="rId484" name="Button 2555">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916" r:id="rId485" name="Button 2556">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942" r:id="rId486" name="Button 2582">
              <controlPr locked="0" defaultSize="0" print="0" autoFill="0" autoPict="0" macro="[0]!Sheet1.InsertNewTabl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943" r:id="rId487" name="Button 258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944" r:id="rId488" name="Button 2584">
              <controlPr locked="0" defaultSize="0" print="0" autoFill="0" autoPict="0" macro="[0]!Sheet1.deleteProcedure">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945" r:id="rId489" name="Button 2585">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946" r:id="rId490" name="Button 258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948" r:id="rId491" name="Button 258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949" r:id="rId492" name="Button 2589">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950" r:id="rId493" name="Button 2590">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951" r:id="rId494" name="Button 259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952" r:id="rId495" name="Button 259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953" r:id="rId496" name="Button 259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954" r:id="rId497" name="Button 259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955" r:id="rId498" name="Button 259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956" r:id="rId499" name="Button 259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57" r:id="rId500" name="Button 259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979" r:id="rId501" name="Button 2619">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980" r:id="rId502" name="Button 2620">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981" r:id="rId503" name="Button 2621">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982" r:id="rId504" name="Button 2622">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984" r:id="rId505" name="Button 2624">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85" r:id="rId506" name="Button 2625">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86" r:id="rId507" name="Button 2626">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987" r:id="rId508" name="Button 262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988" r:id="rId509" name="Button 2628">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989" r:id="rId510" name="Button 2629">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990" r:id="rId511" name="Button 2630">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991" r:id="rId512" name="Button 2631">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992" r:id="rId513" name="Button 2632">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93" r:id="rId514" name="Button 2633">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012" r:id="rId515" name="Button 2652">
              <controlPr locked="0" defaultSize="0" print="0" autoFill="0" autoPict="0" macro="[0]!Sheet1.InsertNewTabl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013" r:id="rId516" name="Button 2653">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014" r:id="rId517" name="Button 2654">
              <controlPr locked="0" defaultSize="0" print="0" autoFill="0" autoPict="0" macro="[0]!Sheet1.deleteProcedure">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015" r:id="rId518" name="Button 2655">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016" r:id="rId519" name="Button 2656">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018" r:id="rId520" name="Button 2658">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8019" r:id="rId521" name="Button 2659">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8020" r:id="rId522" name="Button 2660">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021" r:id="rId523" name="Button 2661">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022" r:id="rId524" name="Button 2662">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023" r:id="rId525" name="Button 2663">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024" r:id="rId526" name="Button 2664">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025" r:id="rId527" name="Button 2665">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026" r:id="rId528" name="Button 2666">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027" r:id="rId529" name="Button 2667">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048" r:id="rId530" name="Button 2688">
              <controlPr locked="0" defaultSize="0" print="0" autoFill="0" autoPict="0" macro="[0]!Sheet1.InsertNewTabl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049" r:id="rId531" name="Button 2689">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050" r:id="rId532" name="Button 2690">
              <controlPr locked="0" defaultSize="0" print="0" autoFill="0" autoPict="0" macro="[0]!Sheet1.deleteProcedure">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051" r:id="rId533" name="Button 2691">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052" r:id="rId534" name="Button 269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8054" r:id="rId535" name="Button 2694">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055" r:id="rId536" name="Button 2695">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056" r:id="rId537" name="Button 2696">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057" r:id="rId538" name="Button 2697">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058" r:id="rId539" name="Button 2698">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059" r:id="rId540" name="Button 2699">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060" r:id="rId541" name="Button 2700">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061" r:id="rId542" name="Button 2701">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062" r:id="rId543" name="Button 2702">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063" r:id="rId544" name="Button 2703">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082" r:id="rId545" name="Button 2722">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083" r:id="rId546" name="Button 272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084" r:id="rId547" name="Button 2724">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085" r:id="rId548" name="Button 2725">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086" r:id="rId549" name="Button 2726">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087" r:id="rId550" name="Button 2727">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088" r:id="rId551" name="Button 2728">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089" r:id="rId552" name="Button 2729">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110" r:id="rId553" name="Button 2750">
              <controlPr locked="0" defaultSize="0" print="0" autoFill="0" autoPict="0" macro="[0]!Sheet1.InsertNewTabl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111" r:id="rId554" name="Button 2751">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112" r:id="rId555" name="Button 2752">
              <controlPr locked="0" defaultSize="0" print="0" autoFill="0" autoPict="0" macro="[0]!Sheet1.deleteProcedure">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113" r:id="rId556" name="Button 2753">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114" r:id="rId557" name="Button 2754">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115" r:id="rId558" name="Button 2755">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116" r:id="rId559" name="Button 2756">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135" r:id="rId560" name="Button 2775">
              <controlPr locked="0" defaultSize="0" print="0" autoFill="0" autoPict="0" macro="[0]!Sheet1.InsertNewTabl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136" r:id="rId561" name="Button 2776">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137" r:id="rId562" name="Button 2777">
              <controlPr locked="0" defaultSize="0" print="0" autoFill="0" autoPict="0" macro="[0]!Sheet1.deleteProcedure">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139" r:id="rId563" name="Button 2779">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140" r:id="rId564" name="Button 2780">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141" r:id="rId565" name="Button 278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42" r:id="rId566" name="Button 2782">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62" r:id="rId567" name="Button 2802">
              <controlPr locked="0" defaultSize="0" print="0" autoFill="0" autoPict="0" macro="[0]!Sheet1.InsertNewTabl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163" r:id="rId568" name="Button 2803">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64" r:id="rId569" name="Button 2804">
              <controlPr locked="0" defaultSize="0" print="0" autoFill="0" autoPict="0" macro="[0]!Sheet1.deleteProcedure">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165" r:id="rId570" name="Button 2805">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66" r:id="rId571" name="Button 2806">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67" r:id="rId572" name="Button 2807">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68" r:id="rId573" name="Button 2808">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69" r:id="rId574" name="Button 280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170" r:id="rId575" name="Button 2810">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89" r:id="rId576" name="Button 2829">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91" r:id="rId577" name="Button 2831">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93" r:id="rId578" name="Button 2833">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94" r:id="rId579" name="Button 2834">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95" r:id="rId580" name="Button 2835">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96" r:id="rId581" name="Button 2836">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97" r:id="rId582" name="Button 2837">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198" r:id="rId583" name="Button 2838">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99" r:id="rId584" name="Button 2839">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200" r:id="rId585" name="Button 2840">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201" r:id="rId586" name="Button 2841">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202" r:id="rId587" name="Button 2842">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203" r:id="rId588" name="Button 2843">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205" r:id="rId589" name="Button 2845">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06" r:id="rId590" name="Button 2846">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207" r:id="rId591" name="Button 2847">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208" r:id="rId592" name="Button 2848">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232" r:id="rId593" name="Button 2872">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33" r:id="rId594" name="Button 2873">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234" r:id="rId595" name="Button 2874">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235" r:id="rId596" name="Button 2875">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236" r:id="rId597" name="Button 2876">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237" r:id="rId598" name="Button 2877">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238" r:id="rId599" name="Button 2878">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239" r:id="rId600" name="Button 2879">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240" r:id="rId601" name="Button 2880">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241" r:id="rId602" name="Button 2881">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242" r:id="rId603" name="Button 2882">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243" r:id="rId604" name="Button 2883">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262" r:id="rId605" name="Button 2902">
              <controlPr locked="0" defaultSize="0" print="0" autoFill="0" autoPict="0" macro="[0]!Sheet1.InsertNewTabl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264" r:id="rId606" name="Button 2904">
              <controlPr locked="0" defaultSize="0" print="0" autoFill="0" autoPict="0" macro="[0]!Sheet1.deleteProcedure">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265" r:id="rId607" name="Button 2905">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266" r:id="rId608" name="Button 290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267" r:id="rId609" name="Button 2907">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268" r:id="rId610" name="Button 2908">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269" r:id="rId611" name="Button 290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270" r:id="rId612" name="Button 2910">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271" r:id="rId613" name="Button 2911">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272" r:id="rId614" name="Button 2912">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73" r:id="rId615" name="Button 2913">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274" r:id="rId616" name="Button 2914">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275" r:id="rId617" name="Button 2915">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276" r:id="rId618" name="Button 2916">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277" r:id="rId619" name="Button 2917">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278" r:id="rId620" name="Button 2918">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279" r:id="rId621" name="Button 2919">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300" r:id="rId622" name="Button 2940">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301" r:id="rId623" name="Button 2941">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302" r:id="rId624" name="Button 2942">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303" r:id="rId625" name="Button 294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304" r:id="rId626" name="Button 294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05" r:id="rId627" name="Button 294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306" r:id="rId628" name="Button 294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307" r:id="rId629" name="Button 294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308" r:id="rId630" name="Button 294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309" r:id="rId631" name="Button 294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310" r:id="rId632" name="Button 295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8311" r:id="rId633" name="Button 295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332" r:id="rId634" name="Button 2972">
              <controlPr locked="0" defaultSize="0" print="0" autoFill="0" autoPict="0" macro="[0]!Sheet1.InsertNewTabl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333" r:id="rId635" name="Button 2973">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334" r:id="rId636" name="Button 2974">
              <controlPr locked="0" defaultSize="0" print="0" autoFill="0" autoPict="0" macro="[0]!Sheet1.deleteProcedure">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8336" r:id="rId637" name="Button 2976">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356" r:id="rId638" name="Button 2996">
              <controlPr locked="0" defaultSize="0" print="0" autoFill="0" autoPict="0" macro="[0]!Sheet1.InsertNewTabl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357" r:id="rId639" name="Button 299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358" r:id="rId640" name="Button 2998">
              <controlPr locked="0" defaultSize="0" print="0" autoFill="0" autoPict="0" macro="[0]!Sheet1.deleteProcedure">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359" r:id="rId641" name="Button 2999">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378" r:id="rId642" name="Button 3018">
              <controlPr locked="0" defaultSize="0" print="0" autoFill="0" autoPict="0" macro="[0]!Sheet1.InsertNewTabl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379" r:id="rId643" name="Button 3019">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380" r:id="rId644" name="Button 3020">
              <controlPr locked="0" defaultSize="0" print="0" autoFill="0" autoPict="0" macro="[0]!Sheet1.deleteProcedure">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381" r:id="rId645" name="Button 3021">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400" r:id="rId646" name="Button 3040">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401" r:id="rId647" name="Button 3041">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402" r:id="rId648" name="Button 3042">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403" r:id="rId649" name="Button 3043">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404" r:id="rId650" name="Button 3044">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424" r:id="rId651" name="Button 3064">
              <controlPr locked="0" defaultSize="0" print="0" autoFill="0" autoPict="0" macro="[0]!Sheet1.InsertNewTabl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425" r:id="rId652" name="Button 3065">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426" r:id="rId653" name="Button 3066">
              <controlPr locked="0" defaultSize="0" print="0" autoFill="0" autoPict="0" macro="[0]!Sheet1.deleteProcedure">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428" r:id="rId654" name="Button 3068">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543" r:id="rId655" name="Button 3087">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544" r:id="rId656" name="Button 3088">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545" r:id="rId657" name="Button 3089">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546" r:id="rId658" name="Button 3090">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565" r:id="rId659" name="Button 3109">
              <controlPr locked="0" defaultSize="0" print="0" autoFill="0" autoPict="0" macro="[0]!Sheet1.InsertNewTabl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566" r:id="rId660" name="Button 311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567" r:id="rId661" name="Button 3111">
              <controlPr locked="0" defaultSize="0" print="0" autoFill="0" autoPict="0" macro="[0]!Sheet1.deleteProcedure">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2568" r:id="rId662" name="Button 3112">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587" r:id="rId663" name="Button 3131">
              <controlPr locked="0" defaultSize="0" print="0" autoFill="0" autoPict="0" macro="[0]!Sheet1.InsertNewTabl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588" r:id="rId664" name="Button 313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589" r:id="rId665" name="Button 3133">
              <controlPr locked="0" defaultSize="0" print="0" autoFill="0" autoPict="0" macro="[0]!Sheet1.deleteProcedure">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590" r:id="rId666" name="Button 3134">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591" r:id="rId667" name="Button 3135">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610" r:id="rId668" name="Button 3154">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611" r:id="rId669" name="Button 3155">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612" r:id="rId670" name="Button 3156">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613" r:id="rId671" name="Button 3157">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633" r:id="rId672" name="Button 3177">
              <controlPr locked="0" defaultSize="0" print="0" autoFill="0" autoPict="0" macro="[0]!Sheet1.InsertNewTabl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634" r:id="rId673" name="Button 3178">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635" r:id="rId674" name="Button 3179">
              <controlPr locked="0" defaultSize="0" print="0" autoFill="0" autoPict="0" macro="[0]!Sheet1.deleteProcedure">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636" r:id="rId675" name="Button 3180">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637" r:id="rId676" name="Button 3181">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656" r:id="rId677" name="Button 3200">
              <controlPr locked="0" defaultSize="0" print="0" autoFill="0" autoPict="0" macro="[0]!Sheet1.InsertNewTabl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2657" r:id="rId678" name="Button 3201">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658" r:id="rId679" name="Button 3202">
              <controlPr locked="0" defaultSize="0" print="0" autoFill="0" autoPict="0" macro="[0]!Sheet1.deleteProcedure">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677" r:id="rId680" name="Button 3221">
              <controlPr locked="0" defaultSize="0" print="0" autoFill="0" autoPict="0" macro="[0]!Sheet1.InsertNewTabl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2678" r:id="rId681" name="Button 3222">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679" r:id="rId682" name="Button 3223">
              <controlPr locked="0" defaultSize="0" print="0" autoFill="0" autoPict="0" macro="[0]!Sheet1.deleteProcedure">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700" r:id="rId683" name="Button 3244">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2701" r:id="rId684" name="Button 3245">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2702" r:id="rId685" name="Button 3246">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722" r:id="rId686" name="Button 3266">
              <controlPr locked="0" defaultSize="0" print="0" autoFill="0" autoPict="0" macro="[0]!Sheet1.InsertNewTabl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723" r:id="rId687" name="Button 3267">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2724" r:id="rId688" name="Button 3268">
              <controlPr locked="0" defaultSize="0" print="0" autoFill="0" autoPict="0" macro="[0]!Sheet1.deleteProcedure">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2725" r:id="rId689" name="Button 3269">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2726" r:id="rId690" name="Button 3270">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2727" r:id="rId691" name="Button 3271">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2750" r:id="rId692" name="Button 3294">
              <controlPr locked="0" defaultSize="0" print="0" autoFill="0" autoPict="0" macro="[0]!Sheet1.InsertNewTabl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2751" r:id="rId693" name="Button 3295">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2752" r:id="rId694" name="Button 3296">
              <controlPr locked="0" defaultSize="0" print="0" autoFill="0" autoPict="0" macro="[0]!Sheet1.deleteProcedure">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754" r:id="rId695" name="Button 3298">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2755" r:id="rId696" name="Button 3299">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2774" r:id="rId697" name="Button 3318">
              <controlPr locked="0" defaultSize="0" print="0" autoFill="0" autoPict="0" macro="[0]!Sheet1.InsertNewTabl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2775" r:id="rId698" name="Button 3319">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2776" r:id="rId699" name="Button 3320">
              <controlPr locked="0" defaultSize="0" print="0" autoFill="0" autoPict="0" macro="[0]!Sheet1.deleteProcedure">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777" r:id="rId700" name="Button 3321">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2778" r:id="rId701" name="Button 3322">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779" r:id="rId702" name="Button 3323">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798" r:id="rId703" name="Button 3342">
              <controlPr locked="0" defaultSize="0" print="0" autoFill="0" autoPict="0" macro="[0]!Sheet1.InsertNewTabl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799" r:id="rId704" name="Button 3343">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800" r:id="rId705" name="Button 3344">
              <controlPr locked="0" defaultSize="0" print="0" autoFill="0" autoPict="0" macro="[0]!Sheet1.deleteProcedure">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801" r:id="rId706" name="Button 334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821" r:id="rId707" name="Button 3365">
              <controlPr locked="0" defaultSize="0" print="0" autoFill="0" autoPict="0" macro="[0]!Sheet1.InsertNewTabl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2822" r:id="rId708" name="Button 3366">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2823" r:id="rId709" name="Button 3367">
              <controlPr locked="0" defaultSize="0" print="0" autoFill="0" autoPict="0" macro="[0]!Sheet1.deleteProcedure">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825" r:id="rId710" name="Button 3369">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2844" r:id="rId711" name="Button 3388">
              <controlPr locked="0" defaultSize="0" print="0" autoFill="0" autoPict="0" macro="[0]!Sheet1.InsertNewTabl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845" r:id="rId712" name="Button 3389">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2846" r:id="rId713" name="Button 3390">
              <controlPr locked="0" defaultSize="0" print="0" autoFill="0" autoPict="0" macro="[0]!Sheet1.deleteProcedure">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2847" r:id="rId714" name="Button 3391">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2866" r:id="rId715" name="Button 3410">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2867" r:id="rId716" name="Button 3411">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868" r:id="rId717" name="Button 3412">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869" r:id="rId718" name="Button 3413">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888" r:id="rId719" name="Button 3432">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2889" r:id="rId720" name="Button 3433">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2890" r:id="rId721" name="Button 3434">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891" r:id="rId722" name="Button 3435">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2910" r:id="rId723" name="Button 3454">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2911" r:id="rId724" name="Button 3455">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912" r:id="rId725" name="Button 3456">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913" r:id="rId726" name="Button 3457">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2933" r:id="rId727" name="Button 3477">
              <controlPr locked="0" defaultSize="0" print="0" autoFill="0" autoPict="0" macro="[0]!Sheet1.InsertNewTabl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2934" r:id="rId728" name="Button 3478">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2935" r:id="rId729" name="Button 3479">
              <controlPr locked="0" defaultSize="0" print="0" autoFill="0" autoPict="0" macro="[0]!Sheet1.deleteProcedure">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2936" r:id="rId730" name="Button 3480">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2955" r:id="rId731" name="Button 3499">
              <controlPr locked="0" defaultSize="0" print="0" autoFill="0" autoPict="0" macro="[0]!Sheet1.InsertNewTabl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956" r:id="rId732" name="Button 3500">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957" r:id="rId733" name="Button 3501">
              <controlPr locked="0" defaultSize="0" print="0" autoFill="0" autoPict="0" macro="[0]!Sheet1.deleteProcedure">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2958" r:id="rId734" name="Button 3502">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977" r:id="rId735" name="Button 3521">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978" r:id="rId736" name="Button 3522">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979" r:id="rId737" name="Button 3523">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981" r:id="rId738" name="Button 3525">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3000" r:id="rId739" name="Button 3544">
              <controlPr locked="0" defaultSize="0" print="0" autoFill="0" autoPict="0" macro="[0]!Sheet1.InsertNewTabl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3001" r:id="rId740" name="Button 3545">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3002" r:id="rId741" name="Button 3546">
              <controlPr locked="0" defaultSize="0" print="0" autoFill="0" autoPict="0" macro="[0]!Sheet1.deleteProcedure">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003" r:id="rId742" name="Button 3547">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022" r:id="rId743" name="Button 3566">
              <controlPr locked="0" defaultSize="0" print="0" autoFill="0" autoPict="0" macro="[0]!Sheet1.InsertNewTabl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3023" r:id="rId744" name="Button 3567">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024" r:id="rId745" name="Button 3568">
              <controlPr locked="0" defaultSize="0" print="0" autoFill="0" autoPict="0" macro="[0]!Sheet1.deleteProcedure">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026" r:id="rId746" name="Button 3570">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045" r:id="rId747" name="Button 3589">
              <controlPr locked="0" defaultSize="0" print="0" autoFill="0" autoPict="0" macro="[0]!Sheet1.InsertNewTabl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046" r:id="rId748" name="Button 3590">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047" r:id="rId749" name="Button 3591">
              <controlPr locked="0" defaultSize="0" print="0" autoFill="0" autoPict="0" macro="[0]!Sheet1.deleteProcedure">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048" r:id="rId750" name="Button 3592">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067" r:id="rId751" name="Button 3611">
              <controlPr locked="0" defaultSize="0" print="0" autoFill="0" autoPict="0" macro="[0]!Sheet1.InsertNewTabl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068" r:id="rId752" name="Button 3612">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069" r:id="rId753" name="Button 3613">
              <controlPr locked="0" defaultSize="0" print="0" autoFill="0" autoPict="0" macro="[0]!Sheet1.deleteProcedure">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3070" r:id="rId754" name="Button 3614">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089" r:id="rId755" name="Button 3633">
              <controlPr locked="0" defaultSize="0" print="0" autoFill="0" autoPict="0" macro="[0]!Sheet1.InsertNewTabl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090" r:id="rId756" name="Button 3634">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091" r:id="rId757" name="Button 3635">
              <controlPr locked="0" defaultSize="0" print="0" autoFill="0" autoPict="0" macro="[0]!Sheet1.deleteProcedure">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092" r:id="rId758" name="Button 3636">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111" r:id="rId759" name="Button 3655">
              <controlPr locked="0" defaultSize="0" print="0" autoFill="0" autoPict="0" macro="[0]!Sheet1.InsertNewTabl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3112" r:id="rId760" name="Button 3656">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3113" r:id="rId761" name="Button 3657">
              <controlPr locked="0" defaultSize="0" print="0" autoFill="0" autoPict="0" macro="[0]!Sheet1.deleteProcedure">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114" r:id="rId762" name="Button 3658">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3133" r:id="rId763" name="Button 3677">
              <controlPr locked="0" defaultSize="0" print="0" autoFill="0" autoPict="0" macro="[0]!Sheet1.InsertNewTabl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3134" r:id="rId764" name="Button 3678">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3135" r:id="rId765" name="Button 3679">
              <controlPr locked="0" defaultSize="0" print="0" autoFill="0" autoPict="0" macro="[0]!Sheet1.deleteProcedure">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137" r:id="rId766" name="Button 3681">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3138" r:id="rId767" name="Button 3682">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3157" r:id="rId768" name="Button 3701">
              <controlPr locked="0" defaultSize="0" print="0" autoFill="0" autoPict="0" macro="[0]!Sheet1.InsertNewTabl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3158" r:id="rId769" name="Button 3702">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3159" r:id="rId770" name="Button 3703">
              <controlPr locked="0" defaultSize="0" print="0" autoFill="0" autoPict="0" macro="[0]!Sheet1.deleteProcedure">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160" r:id="rId771" name="Button 3704">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3161" r:id="rId772" name="Button 3705">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3180" r:id="rId773" name="Button 3724">
              <controlPr locked="0" defaultSize="0" print="0" autoFill="0" autoPict="0" macro="[0]!Sheet1.InsertNewTabl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181" r:id="rId774" name="Button 3725">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3182" r:id="rId775" name="Button 3726">
              <controlPr locked="0" defaultSize="0" print="0" autoFill="0" autoPict="0" macro="[0]!Sheet1.deleteProcedure">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183" r:id="rId776" name="Button 3727">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3184" r:id="rId777" name="Button 3728">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203" r:id="rId778" name="Button 3747">
              <controlPr locked="0" defaultSize="0" print="0" autoFill="0" autoPict="0" macro="[0]!Sheet1.InsertNewTabl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204" r:id="rId779" name="Button 3748">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3205" r:id="rId780" name="Button 3749">
              <controlPr locked="0" defaultSize="0" print="0" autoFill="0" autoPict="0" macro="[0]!Sheet1.deleteProcedure">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3206" r:id="rId781" name="Button 3750">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207" r:id="rId782" name="Button 3751">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226" r:id="rId783" name="Button 3770">
              <controlPr locked="0" defaultSize="0" print="0" autoFill="0" autoPict="0" macro="[0]!Sheet1.InsertNewTabl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3227" r:id="rId784" name="Button 3771">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228" r:id="rId785" name="Button 3772">
              <controlPr locked="0" defaultSize="0" print="0" autoFill="0" autoPict="0" macro="[0]!Sheet1.deleteProcedure">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3230" r:id="rId786" name="Button 3774">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231" r:id="rId787" name="Button 377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3232" r:id="rId788" name="Button 3776">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3252" r:id="rId789" name="Button 3796">
              <controlPr locked="0" defaultSize="0" print="0" autoFill="0" autoPict="0" macro="[0]!Sheet1.InsertNewTabl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3253" r:id="rId790" name="Button 3797">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3254" r:id="rId791" name="Button 3798">
              <controlPr locked="0" defaultSize="0" print="0" autoFill="0" autoPict="0" macro="[0]!Sheet1.deleteProcedure">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3255" r:id="rId792" name="Button 3799">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256" r:id="rId793" name="Button 3800">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257" r:id="rId794" name="Button 3801">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3276" r:id="rId795" name="Button 3820">
              <controlPr locked="0" defaultSize="0" print="0" autoFill="0" autoPict="0" macro="[0]!Sheet1.InsertNewTabl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3277" r:id="rId796" name="Button 3821">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278" r:id="rId797" name="Button 3822">
              <controlPr locked="0" defaultSize="0" print="0" autoFill="0" autoPict="0" macro="[0]!Sheet1.deleteProcedure">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3279" r:id="rId798" name="Button 3823">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3280" r:id="rId799" name="Button 3824">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3281" r:id="rId800" name="Button 382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3300" r:id="rId801" name="Button 3844">
              <controlPr locked="0" defaultSize="0" print="0" autoFill="0" autoPict="0" macro="[0]!Sheet1.InsertNewTabl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3301" r:id="rId802" name="Button 3845">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3302" r:id="rId803" name="Button 3846">
              <controlPr locked="0" defaultSize="0" print="0" autoFill="0" autoPict="0" macro="[0]!Sheet1.deleteProcedure">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3303" r:id="rId804" name="Button 384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3304" r:id="rId805" name="Button 3848">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305" r:id="rId806" name="Button 3849">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3325" r:id="rId807" name="Button 3869">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326" r:id="rId808" name="Button 3870">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327" r:id="rId809" name="Button 3871">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328" r:id="rId810" name="Button 3872">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347" r:id="rId811" name="Button 3891">
              <controlPr locked="0" defaultSize="0" print="0" autoFill="0" autoPict="0" macro="[0]!Sheet1.InsertNewTabl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348" r:id="rId812" name="Button 3892">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349" r:id="rId813" name="Button 3893">
              <controlPr locked="0" defaultSize="0" print="0" autoFill="0" autoPict="0" macro="[0]!Sheet1.deleteProcedure">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3350" r:id="rId814" name="Button 3894">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369" r:id="rId815" name="Button 3913">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370" r:id="rId816" name="Button 3914">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371" r:id="rId817" name="Button 3915">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3372" r:id="rId818" name="Button 3916">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391" r:id="rId819" name="Button 3935">
              <controlPr locked="0" defaultSize="0" print="0" autoFill="0" autoPict="0" macro="[0]!Sheet1.InsertNewTabl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3392" r:id="rId820" name="Button 3936">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393" r:id="rId821" name="Button 3937">
              <controlPr locked="0" defaultSize="0" print="0" autoFill="0" autoPict="0" macro="[0]!Sheet1.deleteProcedure">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3394" r:id="rId822" name="Button 3938">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413" r:id="rId823" name="Button 3957">
              <controlPr locked="0" defaultSize="0" print="0" autoFill="0" autoPict="0" macro="[0]!Sheet1.InsertNewTabl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3414" r:id="rId824" name="Button 3958">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415" r:id="rId825" name="Button 3959">
              <controlPr locked="0" defaultSize="0" print="0" autoFill="0" autoPict="0" macro="[0]!Sheet1.deleteProcedure">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3417" r:id="rId826" name="Button 3961">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418" r:id="rId827" name="Button 396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3419" r:id="rId828" name="Button 396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420" r:id="rId829" name="Button 3964">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3421" r:id="rId830" name="Button 3965">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3422" r:id="rId831" name="Button 3966">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3441" r:id="rId832" name="Button 3985">
              <controlPr locked="0" defaultSize="0" print="0" autoFill="0" autoPict="0" macro="[0]!Sheet1.InsertNewTabl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442" r:id="rId833" name="Button 3986">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443" r:id="rId834" name="Button 3987">
              <controlPr locked="0" defaultSize="0" print="0" autoFill="0" autoPict="0" macro="[0]!Sheet1.deleteProcedure">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444" r:id="rId835" name="Button 3988">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445" r:id="rId836" name="Button 3989">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446" r:id="rId837" name="Button 3990">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447" r:id="rId838" name="Button 3991">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3448" r:id="rId839" name="Button 3992">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449" r:id="rId840" name="Button 3993">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468" r:id="rId841" name="Button 4012">
              <controlPr locked="0" defaultSize="0" print="0" autoFill="0" autoPict="0" macro="[0]!Sheet1.InsertNewTabl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3469" r:id="rId842" name="Button 4013">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470" r:id="rId843" name="Button 4014">
              <controlPr locked="0" defaultSize="0" print="0" autoFill="0" autoPict="0" macro="[0]!Sheet1.deleteProcedure">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472" r:id="rId844" name="Button 4016">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3473" r:id="rId845" name="Button 4017">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3474" r:id="rId846" name="Button 4018">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3475" r:id="rId847" name="Button 4019">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476" r:id="rId848" name="Button 4020">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477" r:id="rId849" name="Button 4021">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496" r:id="rId850" name="Button 4040">
              <controlPr locked="0" defaultSize="0" print="0" autoFill="0" autoPict="0" macro="[0]!Sheet1.InsertNewTabl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3497" r:id="rId851" name="Button 4041">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498" r:id="rId852" name="Button 4042">
              <controlPr locked="0" defaultSize="0" print="0" autoFill="0" autoPict="0" macro="[0]!Sheet1.deleteProcedure">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499" r:id="rId853" name="Button 4043">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500" r:id="rId854" name="Button 4044">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501" r:id="rId855" name="Button 4045">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502" r:id="rId856" name="Button 4046">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3503" r:id="rId857" name="Button 4047">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3504" r:id="rId858" name="Button 4048">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3523" r:id="rId859" name="Button 4067">
              <controlPr locked="0" defaultSize="0" print="0" autoFill="0" autoPict="0" macro="[0]!Sheet1.InsertNewTabl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524" r:id="rId860" name="Button 4068">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3525" r:id="rId861" name="Button 4069">
              <controlPr locked="0" defaultSize="0" print="0" autoFill="0" autoPict="0" macro="[0]!Sheet1.deleteProcedure">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3527" r:id="rId862" name="Button 4071">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547" r:id="rId863" name="Button 4091">
              <controlPr locked="0" defaultSize="0" print="0" autoFill="0" autoPict="0" macro="[0]!Sheet1.InsertNewTabl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3548" r:id="rId864" name="Button 4092">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3549" r:id="rId865" name="Button 4093">
              <controlPr locked="0" defaultSize="0" print="0" autoFill="0" autoPict="0" macro="[0]!Sheet1.deleteProcedure">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3550" r:id="rId866" name="Button 409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3569" r:id="rId867" name="Button 4113">
              <controlPr locked="0" defaultSize="0" print="0" autoFill="0" autoPict="0" macro="[0]!Sheet1.InsertNewTabl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3570" r:id="rId868" name="Button 4114">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571" r:id="rId869" name="Button 4115">
              <controlPr locked="0" defaultSize="0" print="0" autoFill="0" autoPict="0" macro="[0]!Sheet1.deleteProcedure">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3572" r:id="rId870" name="Button 4116">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3591" r:id="rId871" name="Button 4135">
              <controlPr locked="0" defaultSize="0" print="0" autoFill="0" autoPict="0" macro="[0]!Sheet1.InsertNewTabl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3592" r:id="rId872" name="Button 4136">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593" r:id="rId873" name="Button 4137">
              <controlPr locked="0" defaultSize="0" print="0" autoFill="0" autoPict="0" macro="[0]!Sheet1.deleteProcedure">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3594" r:id="rId874" name="Button 4138">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613" r:id="rId875" name="Button 4157">
              <controlPr locked="0" defaultSize="0" print="0" autoFill="0" autoPict="0" macro="[0]!Sheet1.InsertNewTabl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3614" r:id="rId876" name="Button 4158">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615" r:id="rId877" name="Button 4159">
              <controlPr locked="0" defaultSize="0" print="0" autoFill="0" autoPict="0" macro="[0]!Sheet1.deleteProcedure">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3617" r:id="rId878" name="Button 4161">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636" r:id="rId879" name="Button 4180">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3637" r:id="rId880" name="Button 4181">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3638" r:id="rId881" name="Button 4182">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3639" r:id="rId882" name="Button 4183">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3658" r:id="rId883" name="Button 4202">
              <controlPr locked="0" defaultSize="0" print="0" autoFill="0" autoPict="0" macro="[0]!Sheet1.InsertNewTabl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3659" r:id="rId884" name="Button 4203">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3660" r:id="rId885" name="Button 4204">
              <controlPr locked="0" defaultSize="0" print="0" autoFill="0" autoPict="0" macro="[0]!Sheet1.deleteProcedure">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661" r:id="rId886" name="Button 4205">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3680" r:id="rId887" name="Button 4224">
              <controlPr locked="0" defaultSize="0" print="0" autoFill="0" autoPict="0" macro="[0]!Sheet1.InsertNewTabl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3681" r:id="rId888" name="Button 4225">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3682" r:id="rId889" name="Button 4226">
              <controlPr locked="0" defaultSize="0" print="0" autoFill="0" autoPict="0" macro="[0]!Sheet1.deleteProcedure">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3683" r:id="rId890" name="Button 4227">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3702" r:id="rId891" name="Button 4246">
              <controlPr locked="0" defaultSize="0" print="0" autoFill="0" autoPict="0" macro="[0]!Sheet1.InsertNewTabl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3703" r:id="rId892" name="Button 4247">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3704" r:id="rId893" name="Button 4248">
              <controlPr locked="0" defaultSize="0" print="0" autoFill="0" autoPict="0" macro="[0]!Sheet1.deleteProcedure">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3705" r:id="rId894" name="Button 4249">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3724" r:id="rId895" name="Button 4268">
              <controlPr locked="0" defaultSize="0" print="0" autoFill="0" autoPict="0" macro="[0]!Sheet1.InsertNewTabl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3725" r:id="rId896" name="Button 4269">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3726" r:id="rId897" name="Button 4270">
              <controlPr locked="0" defaultSize="0" print="0" autoFill="0" autoPict="0" macro="[0]!Sheet1.deleteProcedure">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3727" r:id="rId898" name="Button 4271">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3746" r:id="rId899" name="Button 4290">
              <controlPr locked="0" defaultSize="0" print="0" autoFill="0" autoPict="0" macro="[0]!Sheet1.InsertNewTabl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3747" r:id="rId900" name="Button 4291">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3748" r:id="rId901" name="Button 4292">
              <controlPr locked="0" defaultSize="0" print="0" autoFill="0" autoPict="0" macro="[0]!Sheet1.deleteProcedure">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3749" r:id="rId902" name="Button 4293">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3768" r:id="rId903" name="Button 4312">
              <controlPr locked="0" defaultSize="0" print="0" autoFill="0" autoPict="0" macro="[0]!Sheet1.InsertNewTabl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3769" r:id="rId904" name="Button 4313">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3770" r:id="rId905" name="Button 4314">
              <controlPr locked="0" defaultSize="0" print="0" autoFill="0" autoPict="0" macro="[0]!Sheet1.deleteProcedure">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3771" r:id="rId906" name="Button 4315">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3790" r:id="rId907" name="Button 4334">
              <controlPr locked="0" defaultSize="0" print="0" autoFill="0" autoPict="0" macro="[0]!Sheet1.InsertNewTabl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3791" r:id="rId908" name="Button 4335">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3792" r:id="rId909" name="Button 4336">
              <controlPr locked="0" defaultSize="0" print="0" autoFill="0" autoPict="0" macro="[0]!Sheet1.deleteProcedure">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3793" r:id="rId910" name="Button 4337">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3794" r:id="rId911" name="Button 4338">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3795" r:id="rId912" name="Button 4339">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3796" r:id="rId913" name="Button 4340">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3797" r:id="rId914" name="Button 4341">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3798" r:id="rId915" name="Button 4342">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3799" r:id="rId916" name="Button 4343">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3800" r:id="rId917" name="Button 4344">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3801" r:id="rId918" name="Button 4345">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3802" r:id="rId919" name="Button 4346">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3803" r:id="rId920" name="Button 4347">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3804" r:id="rId921" name="Button 4348">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3810" r:id="rId922" name="Button 4354">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3811" r:id="rId923" name="Button 4355">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3830" r:id="rId924" name="Button 4374">
              <controlPr locked="0" defaultSize="0" print="0" autoFill="0" autoPict="0" macro="[0]!Sheet1.InsertNewTabl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3831" r:id="rId925" name="Button 4375">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3832" r:id="rId926" name="Button 4376">
              <controlPr locked="0" defaultSize="0" print="0" autoFill="0" autoPict="0" macro="[0]!Sheet1.deleteProcedure">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3834" r:id="rId927" name="Button 4378">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3835" r:id="rId928" name="Button 4379">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3836" r:id="rId929" name="Button 4380">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3837" r:id="rId930" name="Button 4381">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3838" r:id="rId931" name="Button 4382">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3839" r:id="rId932" name="Button 4383">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3840" r:id="rId933" name="Button 4384">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3841" r:id="rId934" name="Button 4385">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3842" r:id="rId935" name="Button 4386">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3843" r:id="rId936" name="Button 4387">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23844" r:id="rId937" name="Button 4388">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3845" r:id="rId938" name="Button 438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3846" r:id="rId939" name="Button 4390">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3847" r:id="rId940" name="Button 4391">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23868" r:id="rId941" name="Button 4412">
              <controlPr locked="0" defaultSize="0" print="0" autoFill="0" autoPict="0" macro="[0]!Sheet1.InsertNewTabl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3870" r:id="rId942" name="Button 4414">
              <controlPr locked="0" defaultSize="0" print="0" autoFill="0" autoPict="0" macro="[0]!Sheet1.deleteProcedure">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23872" r:id="rId943" name="Button 4416">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3873" r:id="rId944" name="Button 4417">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3874" r:id="rId945" name="Button 4418">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3875" r:id="rId946" name="Button 4419">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3876" r:id="rId947" name="Button 4420">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3877" r:id="rId948" name="Button 4421">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3878" r:id="rId949" name="Button 4422">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3879" r:id="rId950" name="Button 4423">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3880" r:id="rId951" name="Button 4424">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3881" r:id="rId952" name="Button 442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3882" r:id="rId953" name="Button 4426">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3883" r:id="rId954" name="Button 4427">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3884" r:id="rId955" name="Button 4428">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3885" r:id="rId956" name="Button 4429">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3886" r:id="rId957" name="Button 4430">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3905" r:id="rId958" name="Button 4449">
              <controlPr locked="0" defaultSize="0" print="0" autoFill="0" autoPict="0" macro="[0]!Sheet1.InsertNewTabl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3906" r:id="rId959" name="Button 4450">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3907" r:id="rId960" name="Button 4451">
              <controlPr locked="0" defaultSize="0" print="0" autoFill="0" autoPict="0" macro="[0]!Sheet1.deleteProcedure">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3908" r:id="rId961" name="Button 4452">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3909" r:id="rId962" name="Button 4453">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3910" r:id="rId963" name="Button 4454">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23911" r:id="rId964" name="Button 4455">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3912" r:id="rId965" name="Button 4456">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3913" r:id="rId966" name="Button 445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3914" r:id="rId967" name="Button 4458">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3915" r:id="rId968" name="Button 4459">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3916" r:id="rId969" name="Button 4460">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3917" r:id="rId970" name="Button 4461">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3918" r:id="rId971" name="Button 4462">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3919" r:id="rId972" name="Button 4463">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3920" r:id="rId973" name="Button 4464">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3921" r:id="rId974" name="Button 4465">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3941" r:id="rId975" name="Button 4485">
              <controlPr locked="0" defaultSize="0" print="0" autoFill="0" autoPict="0" macro="[0]!Sheet1.InsertNewTabl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3942" r:id="rId976" name="Button 4486">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3943" r:id="rId977" name="Button 4487">
              <controlPr locked="0" defaultSize="0" print="0" autoFill="0" autoPict="0" macro="[0]!Sheet1.deleteProcedure">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3945" r:id="rId978" name="Button 4489">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3946" r:id="rId979" name="Button 4490">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3965" r:id="rId980" name="Button 4509">
              <controlPr locked="0" defaultSize="0" print="0" autoFill="0" autoPict="0" macro="[0]!Sheet1.InsertNewTabl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3966" r:id="rId981" name="Button 4510">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3967" r:id="rId982" name="Button 4511">
              <controlPr locked="0" defaultSize="0" print="0" autoFill="0" autoPict="0" macro="[0]!Sheet1.deleteProcedure">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3968" r:id="rId983" name="Button 4512">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3969" r:id="rId984" name="Button 4513">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3988" r:id="rId985" name="Button 4532">
              <controlPr locked="0" defaultSize="0" print="0" autoFill="0" autoPict="0" macro="[0]!Sheet1.InsertNewTabl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3989" r:id="rId986" name="Button 4533">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3990" r:id="rId987" name="Button 4534">
              <controlPr locked="0" defaultSize="0" print="0" autoFill="0" autoPict="0" macro="[0]!Sheet1.deleteProcedure">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3991" r:id="rId988" name="Button 4535">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23992" r:id="rId989" name="Button 4536">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4011" r:id="rId990" name="Button 4555">
              <controlPr locked="0" defaultSize="0" print="0" autoFill="0" autoPict="0" macro="[0]!Sheet1.InsertNewTabl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4012" r:id="rId991" name="Button 4556">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4013" r:id="rId992" name="Button 4557">
              <controlPr locked="0" defaultSize="0" print="0" autoFill="0" autoPict="0" macro="[0]!Sheet1.deleteProcedure">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4014" r:id="rId993" name="Button 4558">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4016" r:id="rId994" name="Button 4560">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4035" r:id="rId995" name="Button 4579">
              <controlPr locked="0" defaultSize="0" print="0" autoFill="0" autoPict="0" macro="[0]!Sheet1.InsertNewTabl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4036" r:id="rId996" name="Button 4580">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4037" r:id="rId997" name="Button 4581">
              <controlPr locked="0" defaultSize="0" print="0" autoFill="0" autoPict="0" macro="[0]!Sheet1.deleteProcedure">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4038" r:id="rId998" name="Button 4582">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4058" r:id="rId999" name="Button 4602">
              <controlPr locked="0" defaultSize="0" print="0" autoFill="0" autoPict="0" macro="[0]!Sheet1.InsertNewTabl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4059" r:id="rId1000" name="Button 4603">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4060" r:id="rId1001" name="Button 4604">
              <controlPr locked="0" defaultSize="0" print="0" autoFill="0" autoPict="0" macro="[0]!Sheet1.deleteProcedure">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4061" r:id="rId1002" name="Button 4605">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4080" r:id="rId1003" name="Button 4624">
              <controlPr locked="0" defaultSize="0" print="0" autoFill="0" autoPict="0" macro="[0]!Sheet1.InsertNewTabl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4081" r:id="rId1004" name="Button 4625">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4082" r:id="rId1005" name="Button 4626">
              <controlPr locked="0" defaultSize="0" print="0" autoFill="0" autoPict="0" macro="[0]!Sheet1.deleteProcedure">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4084" r:id="rId1006" name="Button 4628">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4103" r:id="rId1007" name="Button 4647">
              <controlPr locked="0" defaultSize="0" print="0" autoFill="0" autoPict="0" macro="[0]!Sheet1.InsertNewTabl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4104" r:id="rId1008" name="Button 4648">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4105" r:id="rId1009" name="Button 4649">
              <controlPr locked="0" defaultSize="0" print="0" autoFill="0" autoPict="0" macro="[0]!Sheet1.deleteProcedure">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4106" r:id="rId1010" name="Button 4650">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4125" r:id="rId1011" name="Button 4669">
              <controlPr locked="0" defaultSize="0" print="0" autoFill="0" autoPict="0" macro="[0]!Sheet1.InsertNewTabl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4126" r:id="rId1012" name="Button 4670">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4127" r:id="rId1013" name="Button 4671">
              <controlPr locked="0" defaultSize="0" print="0" autoFill="0" autoPict="0" macro="[0]!Sheet1.deleteProcedure">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4128" r:id="rId1014" name="Button 4672">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4147" r:id="rId1015" name="Button 4691">
              <controlPr locked="0" defaultSize="0" print="0" autoFill="0" autoPict="0" macro="[0]!Sheet1.InsertNewTabl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4148" r:id="rId1016" name="Button 4692">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4149" r:id="rId1017" name="Button 4693">
              <controlPr locked="0" defaultSize="0" print="0" autoFill="0" autoPict="0" macro="[0]!Sheet1.deleteProcedure">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4150" r:id="rId1018" name="Button 4694">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4169" r:id="rId1019" name="Button 4713">
              <controlPr locked="0" defaultSize="0" print="0" autoFill="0" autoPict="0" macro="[0]!Sheet1.InsertNewTabl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4170" r:id="rId1020" name="Button 4714">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4171" r:id="rId1021" name="Button 4715">
              <controlPr locked="0" defaultSize="0" print="0" autoFill="0" autoPict="0" macro="[0]!Sheet1.deleteProcedure">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4172" r:id="rId1022" name="Button 4716">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24191" r:id="rId1023" name="Button 4735">
              <controlPr locked="0" defaultSize="0" print="0" autoFill="0" autoPict="0" macro="[0]!Sheet1.InsertNewTabl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4192" r:id="rId1024" name="Button 4736">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4193" r:id="rId1025" name="Button 4737">
              <controlPr locked="0" defaultSize="0" print="0" autoFill="0" autoPict="0" macro="[0]!Sheet1.deleteProcedure">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4194" r:id="rId1026" name="Button 4738">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controls>
    </mc:Choice>
  </mc:AlternateContent>
  <tableParts count="131">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C27 C38 C49 C60 C71 C82 C93 C104 C115 C126 C137 C148 C165 C182 C199 C216 C231 C246 C261 C276 C306 C335 C364 C388 C409 C426 C443 C458 C473 C485 C497 C508 C558 C607 C656 C704 C721 C737 C753 C769 C791 C811 C831 C849 C872 C894 C917 C940 C956 C971 C986 C1003 C1028 C1048 C1073 C1093 C1105 C1117 C1129 C1142 C1154 C1166 C1178 C1191 C1203 C1216 C1227 C1238 C1249 C1263 C1276 C1290 C1302 C1314 C1326 C1338 C1350 C1362 C1374 C1386 C1398 C1410 C1422 C1434 C1446 C1458 C1470 C1483 C1496 C1509 C1522 C1536 C1550 C1564 C1578 C1590 C1602 C1614 C1626 C1643 C1660 C1677 C1694 C1706 C1718 C1730 C1742 C1754 C1766 C1778 C1790 C1802 C1814 C1826 C1838 C1863 C1888 C1913 C1938 C1951 C1964 C1977 C1990 C2002 C2014 C2026 C2038 C2050 C2062 C2074</xm:sqref>
        </x14:dataValidation>
        <x14:dataValidation type="list" allowBlank="1" showInputMessage="1" showErrorMessage="1" xr:uid="{00000000-0002-0000-0100-00000D000000}">
          <x14:formula1>
            <xm:f>'Informacion '!$L$3:$L$17</xm:f>
          </x14:formula1>
          <xm:sqref>D16 D27 D38 D49 D60 D71 D82 D93 D104 D115 D126 D137 D148 D165 D182 D199 D216 D231 D246 D261 D276 D306 D335 D364 D388 D409 D426 D443 D458 D473 D485 D497 D508 D558 D607 D656 D704 D721 D737 D753 D769 D791 D811 D831 D849 D872 D894 D917 D940 D956 D971 D986 D1003 D1028 D1048 D1073 D1093 D1105 D1117 D1129 D1142 D1154 D1166 D1178 D1191 D1203 D1216 D1227 D1238 D1249 D1263 D1276 D1290 D1302 D1314 D1326 D1338 D1350 D1362 D1374 D1386 D1398 D1410 D1422 D1434 D1446 D1458 D1470 D1483 D1496 D1509 D1522 D1536 D1550 D1564 D1578 D1590 D1602 D1614 D1626 D1643 D1660 D1677 D1694 D1706 D1718 D1730 D1742 D1754 D1766 D1778 D1790 D1802 D1814 D1826 D1838 D1863 D1888 D1913 D1938 D1951 D1964 D1977 D1990 D2002 D2014 D2026 D2038 D2050 D2062 D2074</xm:sqref>
        </x14:dataValidation>
        <x14:dataValidation type="list" allowBlank="1" showInputMessage="1" showErrorMessage="1" xr:uid="{00000000-0002-0000-0100-00000E000000}">
          <x14:formula1>
            <xm:f>'Informacion '!$N$3:$N$5</xm:f>
          </x14:formula1>
          <xm:sqref>E16 E27 E38 E49 E60 E71 E82 E93 E104 E115 E126 E137 E148 E165 E182 E199 E216 E231 E246 E261 E276 E306 E335 E364 E388 E409 E426 E443 E458 E473 E485 E497 E508 E558 E607 E656 E704 E721 E737 E753 E769 E791 E811 E831 E849 E872 E894 E917 E940 E956 E971 E986 E1003 E1028 E1048 E1073 E1093 E1105 E1117 E1129 E1142 E1154 E1166 E1178 E1191 E1203 E1216 E1227 E1238 E1249 E1263 E1276 E1290 E1302 E1314 E1326 E1338 E1350 E1362 E1374 E1386 E1398 E1410 E1422 E1434 E1446 E1458 E1470 E1483 E1496 E1509 E1522 E1536 E1550 E1564 E1578 E1590 E1602 E1614 E1626 E1643 E1660 E1677 E1694 E1706 E1718 E1730 E1742 E1754 E1766 E1778 E1790 E1802 E1814 E1826 E1838 E1863 E1888 E1913 E1938 E1951 E1964 E1977 E1990 E2002 E2014 E2026 E2038 E2050 E2062 E2074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12437</v>
      </c>
      <c r="B1" s="13" t="s">
        <v>11977</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18111</v>
      </c>
      <c r="Q2" s="23" t="s">
        <v>5087</v>
      </c>
      <c r="S2" s="4" t="s">
        <v>12272</v>
      </c>
      <c r="U2" s="4" t="s">
        <v>12984</v>
      </c>
    </row>
    <row r="3" spans="1:21" x14ac:dyDescent="0.2">
      <c r="A3" s="5" t="s">
        <v>1709</v>
      </c>
      <c r="B3" s="5" t="s">
        <v>1709</v>
      </c>
      <c r="C3" s="5" t="s">
        <v>8807</v>
      </c>
      <c r="D3" s="5" t="s">
        <v>1709</v>
      </c>
      <c r="E3" s="5" t="s">
        <v>8807</v>
      </c>
      <c r="F3" s="5" t="s">
        <v>3718</v>
      </c>
      <c r="G3" s="6" t="s">
        <v>3189</v>
      </c>
      <c r="H3" s="6" t="s">
        <v>7351</v>
      </c>
      <c r="I3" s="6" t="s">
        <v>13938</v>
      </c>
      <c r="J3" s="6" t="s">
        <v>13938</v>
      </c>
      <c r="L3" s="7" t="s">
        <v>1875</v>
      </c>
      <c r="N3" s="5" t="s">
        <v>8854</v>
      </c>
      <c r="P3" s="5" t="s">
        <v>5436</v>
      </c>
      <c r="Q3" s="5" t="s">
        <v>16988</v>
      </c>
      <c r="S3" s="7" t="s">
        <v>17797</v>
      </c>
      <c r="U3" s="5" t="s">
        <v>12550</v>
      </c>
    </row>
    <row r="4" spans="1:21" x14ac:dyDescent="0.2">
      <c r="A4" s="5" t="s">
        <v>8093</v>
      </c>
      <c r="B4" s="5" t="s">
        <v>1709</v>
      </c>
      <c r="C4" s="5" t="s">
        <v>12631</v>
      </c>
      <c r="D4" s="5" t="s">
        <v>1709</v>
      </c>
      <c r="E4" s="5" t="s">
        <v>8807</v>
      </c>
      <c r="F4" s="5" t="s">
        <v>4315</v>
      </c>
      <c r="G4" s="6" t="s">
        <v>3189</v>
      </c>
      <c r="H4" s="6" t="s">
        <v>7351</v>
      </c>
      <c r="I4" s="6" t="s">
        <v>13938</v>
      </c>
      <c r="J4" s="6" t="s">
        <v>841</v>
      </c>
      <c r="L4" s="7" t="s">
        <v>17482</v>
      </c>
      <c r="N4" s="5" t="s">
        <v>6032</v>
      </c>
      <c r="P4" s="5" t="s">
        <v>4869</v>
      </c>
      <c r="Q4" s="5" t="s">
        <v>10304</v>
      </c>
      <c r="S4" s="7" t="s">
        <v>6798</v>
      </c>
    </row>
    <row r="5" spans="1:21" x14ac:dyDescent="0.2">
      <c r="A5" s="5" t="s">
        <v>3189</v>
      </c>
      <c r="B5" s="5" t="s">
        <v>1709</v>
      </c>
      <c r="C5" s="5" t="s">
        <v>17756</v>
      </c>
      <c r="D5" s="5" t="s">
        <v>1709</v>
      </c>
      <c r="E5" s="5" t="s">
        <v>8807</v>
      </c>
      <c r="F5" s="5" t="s">
        <v>2914</v>
      </c>
      <c r="G5" s="6" t="s">
        <v>3189</v>
      </c>
      <c r="H5" s="6" t="s">
        <v>7351</v>
      </c>
      <c r="I5" s="6" t="s">
        <v>13938</v>
      </c>
      <c r="J5" s="6" t="s">
        <v>2581</v>
      </c>
      <c r="L5" s="7" t="s">
        <v>10171</v>
      </c>
      <c r="N5" s="5" t="s">
        <v>17853</v>
      </c>
      <c r="P5" s="5" t="s">
        <v>16748</v>
      </c>
      <c r="Q5" s="5" t="s">
        <v>14628</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11826</v>
      </c>
      <c r="Q6" s="5" t="s">
        <v>10374</v>
      </c>
      <c r="S6" s="7" t="s">
        <v>6149</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5957</v>
      </c>
      <c r="B8" s="5" t="s">
        <v>8093</v>
      </c>
      <c r="C8" s="5" t="s">
        <v>5888</v>
      </c>
      <c r="D8" s="5" t="s">
        <v>1709</v>
      </c>
      <c r="E8" s="5" t="s">
        <v>8807</v>
      </c>
      <c r="F8" s="5" t="s">
        <v>13556</v>
      </c>
      <c r="G8" s="6" t="s">
        <v>3189</v>
      </c>
      <c r="H8" s="6" t="s">
        <v>7351</v>
      </c>
      <c r="I8" s="6" t="s">
        <v>6359</v>
      </c>
      <c r="J8" s="6" t="s">
        <v>4038</v>
      </c>
      <c r="L8" s="5" t="s">
        <v>4320</v>
      </c>
      <c r="P8" s="5" t="s">
        <v>9955</v>
      </c>
      <c r="Q8" s="5" t="s">
        <v>9610</v>
      </c>
      <c r="S8" s="7"/>
    </row>
    <row r="9" spans="1:21" x14ac:dyDescent="0.2">
      <c r="A9" s="5" t="s">
        <v>12507</v>
      </c>
      <c r="B9" s="5" t="s">
        <v>3189</v>
      </c>
      <c r="C9" s="5" t="s">
        <v>7351</v>
      </c>
      <c r="D9" s="5" t="s">
        <v>1709</v>
      </c>
      <c r="E9" s="5" t="s">
        <v>8807</v>
      </c>
      <c r="F9" s="5" t="s">
        <v>14111</v>
      </c>
      <c r="G9" s="6" t="s">
        <v>3189</v>
      </c>
      <c r="H9" s="6" t="s">
        <v>7351</v>
      </c>
      <c r="I9" s="6" t="s">
        <v>6877</v>
      </c>
      <c r="J9" s="6" t="s">
        <v>6877</v>
      </c>
      <c r="L9" s="7" t="s">
        <v>7198</v>
      </c>
      <c r="P9" s="5" t="s">
        <v>17161</v>
      </c>
      <c r="Q9" s="5" t="s">
        <v>2023</v>
      </c>
      <c r="S9" s="8"/>
    </row>
    <row r="10" spans="1:21" x14ac:dyDescent="0.2">
      <c r="A10" s="5" t="s">
        <v>17538</v>
      </c>
      <c r="B10" s="5" t="s">
        <v>3189</v>
      </c>
      <c r="C10" s="5" t="s">
        <v>10737</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13870</v>
      </c>
      <c r="L11" s="5" t="s">
        <v>11341</v>
      </c>
      <c r="P11" s="5" t="s">
        <v>5507</v>
      </c>
      <c r="Q11" s="5" t="s">
        <v>9559</v>
      </c>
    </row>
    <row r="12" spans="1:21" ht="22.5" x14ac:dyDescent="0.2">
      <c r="A12" s="5" t="s">
        <v>3080</v>
      </c>
      <c r="B12" s="5" t="s">
        <v>3189</v>
      </c>
      <c r="C12" s="5" t="s">
        <v>5430</v>
      </c>
      <c r="D12" s="5" t="s">
        <v>1709</v>
      </c>
      <c r="E12" s="5" t="s">
        <v>12631</v>
      </c>
      <c r="F12" s="5" t="s">
        <v>17502</v>
      </c>
      <c r="G12" s="6" t="s">
        <v>3189</v>
      </c>
      <c r="H12" s="6" t="s">
        <v>7351</v>
      </c>
      <c r="I12" s="6" t="s">
        <v>3661</v>
      </c>
      <c r="J12" s="6" t="s">
        <v>17127</v>
      </c>
      <c r="L12" s="5" t="s">
        <v>15036</v>
      </c>
      <c r="P12" s="5" t="s">
        <v>3811</v>
      </c>
      <c r="Q12" s="5" t="s">
        <v>14295</v>
      </c>
      <c r="S12" s="22"/>
    </row>
    <row r="13" spans="1:21" ht="22.5" x14ac:dyDescent="0.2">
      <c r="B13" s="5" t="s">
        <v>1492</v>
      </c>
      <c r="C13" s="5" t="s">
        <v>11526</v>
      </c>
      <c r="D13" s="5" t="s">
        <v>1709</v>
      </c>
      <c r="E13" s="5" t="s">
        <v>12631</v>
      </c>
      <c r="F13" s="5" t="s">
        <v>18403</v>
      </c>
      <c r="G13" s="6" t="s">
        <v>3189</v>
      </c>
      <c r="H13" s="6" t="s">
        <v>7351</v>
      </c>
      <c r="I13" s="6" t="s">
        <v>3661</v>
      </c>
      <c r="J13" s="6" t="s">
        <v>16864</v>
      </c>
      <c r="L13" s="7" t="s">
        <v>2518</v>
      </c>
      <c r="P13" s="5" t="s">
        <v>3806</v>
      </c>
      <c r="Q13" s="5" t="s">
        <v>4693</v>
      </c>
      <c r="S13" s="22"/>
    </row>
    <row r="14" spans="1:21" ht="22.5" x14ac:dyDescent="0.2">
      <c r="B14" s="5" t="s">
        <v>1492</v>
      </c>
      <c r="C14" s="5" t="s">
        <v>10528</v>
      </c>
      <c r="D14" s="5" t="s">
        <v>1709</v>
      </c>
      <c r="E14" s="5" t="s">
        <v>12631</v>
      </c>
      <c r="F14" s="5" t="s">
        <v>549</v>
      </c>
      <c r="G14" s="6" t="s">
        <v>3189</v>
      </c>
      <c r="H14" s="6" t="s">
        <v>7351</v>
      </c>
      <c r="I14" s="6" t="s">
        <v>3661</v>
      </c>
      <c r="J14" s="6" t="s">
        <v>16955</v>
      </c>
      <c r="L14" s="7" t="s">
        <v>17901</v>
      </c>
      <c r="P14" s="5" t="s">
        <v>15634</v>
      </c>
      <c r="Q14" s="5" t="s">
        <v>5293</v>
      </c>
    </row>
    <row r="15" spans="1:21" ht="22.5" x14ac:dyDescent="0.2">
      <c r="B15" s="5" t="s">
        <v>1492</v>
      </c>
      <c r="C15" s="5" t="s">
        <v>13974</v>
      </c>
      <c r="D15" s="5" t="s">
        <v>1709</v>
      </c>
      <c r="E15" s="5" t="s">
        <v>12631</v>
      </c>
      <c r="F15" s="5" t="s">
        <v>18116</v>
      </c>
      <c r="G15" s="6" t="s">
        <v>3189</v>
      </c>
      <c r="H15" s="6" t="s">
        <v>7351</v>
      </c>
      <c r="I15" s="6" t="s">
        <v>3661</v>
      </c>
      <c r="J15" s="6" t="s">
        <v>3661</v>
      </c>
      <c r="L15" s="7" t="s">
        <v>9398</v>
      </c>
      <c r="P15" s="5" t="s">
        <v>9901</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4865</v>
      </c>
      <c r="Q16" s="5" t="s">
        <v>13533</v>
      </c>
    </row>
    <row r="17" spans="2:17" x14ac:dyDescent="0.2">
      <c r="B17" s="5" t="s">
        <v>18355</v>
      </c>
      <c r="C17" s="5" t="s">
        <v>15160</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12631</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12631</v>
      </c>
      <c r="F19" s="5" t="s">
        <v>7245</v>
      </c>
      <c r="G19" s="6" t="s">
        <v>3189</v>
      </c>
      <c r="H19" s="6" t="s">
        <v>7351</v>
      </c>
      <c r="I19" s="6" t="s">
        <v>1382</v>
      </c>
      <c r="J19" s="6" t="s">
        <v>7227</v>
      </c>
      <c r="P19" s="5" t="s">
        <v>3807</v>
      </c>
      <c r="Q19" s="5" t="s">
        <v>17478</v>
      </c>
    </row>
    <row r="20" spans="2:17" x14ac:dyDescent="0.2">
      <c r="B20" s="5" t="s">
        <v>18355</v>
      </c>
      <c r="C20" s="5" t="s">
        <v>6673</v>
      </c>
      <c r="D20" s="5" t="s">
        <v>1709</v>
      </c>
      <c r="E20" s="5" t="s">
        <v>12631</v>
      </c>
      <c r="F20" s="5" t="s">
        <v>1623</v>
      </c>
      <c r="G20" s="6" t="s">
        <v>3189</v>
      </c>
      <c r="H20" s="6" t="s">
        <v>7351</v>
      </c>
      <c r="I20" s="6" t="s">
        <v>1382</v>
      </c>
      <c r="J20" s="6" t="s">
        <v>1382</v>
      </c>
      <c r="P20" s="5" t="s">
        <v>12956</v>
      </c>
      <c r="Q20" s="5" t="s">
        <v>18143</v>
      </c>
    </row>
    <row r="21" spans="2:17" ht="22.5" x14ac:dyDescent="0.2">
      <c r="B21" s="5" t="s">
        <v>5957</v>
      </c>
      <c r="C21" s="5" t="s">
        <v>2698</v>
      </c>
      <c r="D21" s="5" t="s">
        <v>1709</v>
      </c>
      <c r="E21" s="5" t="s">
        <v>17756</v>
      </c>
      <c r="F21" s="5" t="s">
        <v>4881</v>
      </c>
      <c r="G21" s="6" t="s">
        <v>3189</v>
      </c>
      <c r="H21" s="6" t="s">
        <v>10737</v>
      </c>
      <c r="I21" s="6" t="s">
        <v>11259</v>
      </c>
      <c r="J21" s="6" t="s">
        <v>5375</v>
      </c>
      <c r="P21" s="5" t="s">
        <v>305</v>
      </c>
      <c r="Q21" s="5" t="s">
        <v>13264</v>
      </c>
    </row>
    <row r="22" spans="2:17" ht="22.5" x14ac:dyDescent="0.2">
      <c r="B22" s="5" t="s">
        <v>5957</v>
      </c>
      <c r="C22" s="5" t="s">
        <v>5614</v>
      </c>
      <c r="D22" s="5" t="s">
        <v>1709</v>
      </c>
      <c r="E22" s="5" t="s">
        <v>17756</v>
      </c>
      <c r="F22" s="5" t="s">
        <v>46</v>
      </c>
      <c r="G22" s="6" t="s">
        <v>3189</v>
      </c>
      <c r="H22" s="6" t="s">
        <v>10737</v>
      </c>
      <c r="I22" s="6" t="s">
        <v>11259</v>
      </c>
      <c r="J22" s="6" t="s">
        <v>11259</v>
      </c>
      <c r="P22" s="5" t="s">
        <v>4443</v>
      </c>
      <c r="Q22" s="5" t="s">
        <v>17558</v>
      </c>
    </row>
    <row r="23" spans="2:17" ht="22.5" x14ac:dyDescent="0.2">
      <c r="B23" s="5" t="s">
        <v>5957</v>
      </c>
      <c r="C23" s="5" t="s">
        <v>18823</v>
      </c>
      <c r="D23" s="5" t="s">
        <v>1709</v>
      </c>
      <c r="E23" s="5" t="s">
        <v>17756</v>
      </c>
      <c r="F23" s="5" t="s">
        <v>13270</v>
      </c>
      <c r="G23" s="6" t="s">
        <v>3189</v>
      </c>
      <c r="H23" s="6" t="s">
        <v>10737</v>
      </c>
      <c r="I23" s="6" t="s">
        <v>5245</v>
      </c>
      <c r="J23" s="6" t="s">
        <v>16931</v>
      </c>
      <c r="P23" s="5" t="s">
        <v>1174</v>
      </c>
      <c r="Q23" s="5" t="s">
        <v>10021</v>
      </c>
    </row>
    <row r="24" spans="2:17" ht="22.5" x14ac:dyDescent="0.2">
      <c r="B24" s="5" t="s">
        <v>5957</v>
      </c>
      <c r="C24" s="5" t="s">
        <v>12705</v>
      </c>
      <c r="D24" s="5" t="s">
        <v>1709</v>
      </c>
      <c r="E24" s="5" t="s">
        <v>17756</v>
      </c>
      <c r="F24" s="5" t="s">
        <v>3364</v>
      </c>
      <c r="G24" s="6" t="s">
        <v>3189</v>
      </c>
      <c r="H24" s="6" t="s">
        <v>10737</v>
      </c>
      <c r="I24" s="6" t="s">
        <v>5245</v>
      </c>
      <c r="J24" s="6" t="s">
        <v>5245</v>
      </c>
      <c r="P24" s="5" t="s">
        <v>7453</v>
      </c>
      <c r="Q24" s="5" t="s">
        <v>6822</v>
      </c>
    </row>
    <row r="25" spans="2:17" ht="22.5" x14ac:dyDescent="0.2">
      <c r="B25" s="5" t="s">
        <v>12507</v>
      </c>
      <c r="C25" s="5" t="s">
        <v>3429</v>
      </c>
      <c r="D25" s="5" t="s">
        <v>8093</v>
      </c>
      <c r="E25" s="5" t="s">
        <v>18173</v>
      </c>
      <c r="F25" s="5" t="s">
        <v>1154</v>
      </c>
      <c r="G25" s="6" t="s">
        <v>3189</v>
      </c>
      <c r="H25" s="6" t="s">
        <v>10737</v>
      </c>
      <c r="I25" s="6" t="s">
        <v>15242</v>
      </c>
      <c r="J25" s="6" t="s">
        <v>15242</v>
      </c>
      <c r="P25" s="5" t="s">
        <v>4868</v>
      </c>
      <c r="Q25" s="5" t="s">
        <v>15648</v>
      </c>
    </row>
    <row r="26" spans="2:17" ht="22.5" x14ac:dyDescent="0.2">
      <c r="B26" s="5" t="s">
        <v>12507</v>
      </c>
      <c r="C26" s="5" t="s">
        <v>2459</v>
      </c>
      <c r="D26" s="5" t="s">
        <v>8093</v>
      </c>
      <c r="E26" s="5" t="s">
        <v>18173</v>
      </c>
      <c r="F26" s="5" t="s">
        <v>18784</v>
      </c>
      <c r="G26" s="6" t="s">
        <v>3189</v>
      </c>
      <c r="H26" s="6" t="s">
        <v>2813</v>
      </c>
      <c r="I26" s="6" t="s">
        <v>10849</v>
      </c>
      <c r="J26" s="6" t="s">
        <v>1028</v>
      </c>
      <c r="P26" s="5" t="s">
        <v>5733</v>
      </c>
      <c r="Q26" s="5" t="s">
        <v>1616</v>
      </c>
    </row>
    <row r="27" spans="2:17" ht="22.5" x14ac:dyDescent="0.2">
      <c r="B27" s="5" t="s">
        <v>17538</v>
      </c>
      <c r="C27" s="5" t="s">
        <v>7757</v>
      </c>
      <c r="D27" s="5" t="s">
        <v>8093</v>
      </c>
      <c r="E27" s="5" t="s">
        <v>18173</v>
      </c>
      <c r="F27" s="5" t="s">
        <v>5973</v>
      </c>
      <c r="G27" s="6" t="s">
        <v>3189</v>
      </c>
      <c r="H27" s="6" t="s">
        <v>2813</v>
      </c>
      <c r="I27" s="6" t="s">
        <v>10849</v>
      </c>
      <c r="J27" s="6" t="s">
        <v>10849</v>
      </c>
      <c r="P27" s="5" t="s">
        <v>9214</v>
      </c>
      <c r="Q27" s="5" t="s">
        <v>5078</v>
      </c>
    </row>
    <row r="28" spans="2:17" ht="22.5" x14ac:dyDescent="0.2">
      <c r="B28" s="5" t="s">
        <v>17538</v>
      </c>
      <c r="C28" s="5" t="s">
        <v>628</v>
      </c>
      <c r="D28" s="5" t="s">
        <v>8093</v>
      </c>
      <c r="E28" s="5" t="s">
        <v>18173</v>
      </c>
      <c r="F28" s="5" t="s">
        <v>18434</v>
      </c>
      <c r="G28" s="6" t="s">
        <v>3189</v>
      </c>
      <c r="H28" s="6" t="s">
        <v>2813</v>
      </c>
      <c r="I28" s="6" t="s">
        <v>10849</v>
      </c>
      <c r="J28" s="6" t="s">
        <v>5952</v>
      </c>
      <c r="P28" s="5" t="s">
        <v>12997</v>
      </c>
      <c r="Q28" s="5" t="s">
        <v>6740</v>
      </c>
    </row>
    <row r="29" spans="2:17" ht="22.5" x14ac:dyDescent="0.2">
      <c r="B29" s="5" t="s">
        <v>17538</v>
      </c>
      <c r="C29" s="5" t="s">
        <v>10724</v>
      </c>
      <c r="D29" s="5" t="s">
        <v>8093</v>
      </c>
      <c r="E29" s="5" t="s">
        <v>2599</v>
      </c>
      <c r="F29" s="5" t="s">
        <v>12130</v>
      </c>
      <c r="G29" s="6" t="s">
        <v>3189</v>
      </c>
      <c r="H29" s="6" t="s">
        <v>2813</v>
      </c>
      <c r="I29" s="6" t="s">
        <v>3122</v>
      </c>
      <c r="J29" s="6" t="s">
        <v>3122</v>
      </c>
      <c r="P29" s="5" t="s">
        <v>5198</v>
      </c>
      <c r="Q29" s="5" t="s">
        <v>4735</v>
      </c>
    </row>
    <row r="30" spans="2:17" ht="22.5" x14ac:dyDescent="0.2">
      <c r="B30" s="5" t="s">
        <v>16542</v>
      </c>
      <c r="C30" s="5" t="s">
        <v>9644</v>
      </c>
      <c r="D30" s="5" t="s">
        <v>8093</v>
      </c>
      <c r="E30" s="5" t="s">
        <v>2599</v>
      </c>
      <c r="F30" s="5" t="s">
        <v>5828</v>
      </c>
      <c r="G30" s="6" t="s">
        <v>3189</v>
      </c>
      <c r="H30" s="6" t="s">
        <v>2813</v>
      </c>
      <c r="I30" s="6" t="s">
        <v>3122</v>
      </c>
      <c r="J30" s="6" t="s">
        <v>15385</v>
      </c>
      <c r="P30" s="5" t="s">
        <v>11827</v>
      </c>
      <c r="Q30" s="5" t="s">
        <v>14110</v>
      </c>
    </row>
    <row r="31" spans="2:17" ht="22.5" x14ac:dyDescent="0.2">
      <c r="B31" s="5" t="s">
        <v>16542</v>
      </c>
      <c r="C31" s="5" t="s">
        <v>16564</v>
      </c>
      <c r="D31" s="5" t="s">
        <v>8093</v>
      </c>
      <c r="E31" s="5" t="s">
        <v>2599</v>
      </c>
      <c r="F31" s="5" t="s">
        <v>10375</v>
      </c>
      <c r="G31" s="6" t="s">
        <v>3189</v>
      </c>
      <c r="H31" s="6" t="s">
        <v>2813</v>
      </c>
      <c r="I31" s="6" t="s">
        <v>10951</v>
      </c>
      <c r="J31" s="6" t="s">
        <v>3383</v>
      </c>
      <c r="P31" s="5" t="s">
        <v>4982</v>
      </c>
      <c r="Q31" s="5" t="s">
        <v>3843</v>
      </c>
    </row>
    <row r="32" spans="2:17" ht="22.5" x14ac:dyDescent="0.2">
      <c r="B32" s="5" t="s">
        <v>16542</v>
      </c>
      <c r="C32" s="5" t="s">
        <v>8704</v>
      </c>
      <c r="D32" s="5" t="s">
        <v>8093</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8093</v>
      </c>
      <c r="E33" s="5" t="s">
        <v>5888</v>
      </c>
      <c r="F33" s="5" t="s">
        <v>39</v>
      </c>
      <c r="G33" s="6" t="s">
        <v>3189</v>
      </c>
      <c r="H33" s="6" t="s">
        <v>2813</v>
      </c>
      <c r="I33" s="6" t="s">
        <v>10951</v>
      </c>
      <c r="J33" s="6" t="s">
        <v>10951</v>
      </c>
      <c r="P33" s="5" t="s">
        <v>12941</v>
      </c>
      <c r="Q33" s="5" t="s">
        <v>7578</v>
      </c>
    </row>
    <row r="34" spans="2:17" ht="22.5" x14ac:dyDescent="0.2">
      <c r="B34" s="5" t="s">
        <v>3080</v>
      </c>
      <c r="C34" s="5" t="s">
        <v>14449</v>
      </c>
      <c r="D34" s="5" t="s">
        <v>8093</v>
      </c>
      <c r="E34" s="5" t="s">
        <v>5888</v>
      </c>
      <c r="F34" s="5" t="s">
        <v>9709</v>
      </c>
      <c r="G34" s="6" t="s">
        <v>3189</v>
      </c>
      <c r="H34" s="6" t="s">
        <v>2813</v>
      </c>
      <c r="I34" s="6" t="s">
        <v>10951</v>
      </c>
      <c r="J34" s="6" t="s">
        <v>14032</v>
      </c>
      <c r="P34" s="5" t="s">
        <v>10943</v>
      </c>
      <c r="Q34" s="5" t="s">
        <v>7578</v>
      </c>
    </row>
    <row r="35" spans="2:17" ht="22.5" x14ac:dyDescent="0.2">
      <c r="D35" s="5" t="s">
        <v>8093</v>
      </c>
      <c r="E35" s="5" t="s">
        <v>5888</v>
      </c>
      <c r="F35" s="5" t="s">
        <v>13952</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12995</v>
      </c>
      <c r="J36" s="6" t="s">
        <v>12995</v>
      </c>
      <c r="P36" s="5" t="s">
        <v>17626</v>
      </c>
      <c r="Q36" s="5" t="s">
        <v>11116</v>
      </c>
    </row>
    <row r="37" spans="2:17" x14ac:dyDescent="0.2">
      <c r="D37" s="5" t="s">
        <v>3189</v>
      </c>
      <c r="E37" s="5" t="s">
        <v>7351</v>
      </c>
      <c r="F37" s="5" t="s">
        <v>13938</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4810</v>
      </c>
      <c r="G40" s="6" t="s">
        <v>3189</v>
      </c>
      <c r="H40" s="6" t="s">
        <v>5430</v>
      </c>
      <c r="I40" s="6" t="s">
        <v>1527</v>
      </c>
      <c r="J40" s="6" t="s">
        <v>18213</v>
      </c>
      <c r="P40" s="5" t="s">
        <v>4140</v>
      </c>
      <c r="Q40" s="5" t="s">
        <v>14141</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15808</v>
      </c>
      <c r="Q43" s="5" t="s">
        <v>7959</v>
      </c>
    </row>
    <row r="44" spans="2:17" x14ac:dyDescent="0.2">
      <c r="D44" s="5" t="s">
        <v>3189</v>
      </c>
      <c r="E44" s="5" t="s">
        <v>10737</v>
      </c>
      <c r="F44" s="5" t="s">
        <v>5245</v>
      </c>
      <c r="G44" s="6" t="s">
        <v>1492</v>
      </c>
      <c r="H44" s="6" t="s">
        <v>12134</v>
      </c>
      <c r="I44" s="6" t="s">
        <v>18775</v>
      </c>
      <c r="J44" s="6" t="s">
        <v>18775</v>
      </c>
    </row>
    <row r="45" spans="2:17" x14ac:dyDescent="0.2">
      <c r="D45" s="5" t="s">
        <v>3189</v>
      </c>
      <c r="E45" s="5" t="s">
        <v>10737</v>
      </c>
      <c r="F45" s="5" t="s">
        <v>15242</v>
      </c>
      <c r="G45" s="6" t="s">
        <v>1492</v>
      </c>
      <c r="H45" s="6" t="s">
        <v>12134</v>
      </c>
      <c r="I45" s="6" t="s">
        <v>18775</v>
      </c>
      <c r="J45" s="6" t="s">
        <v>8975</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15594</v>
      </c>
      <c r="G49" s="6" t="s">
        <v>1492</v>
      </c>
      <c r="H49" s="6" t="s">
        <v>12134</v>
      </c>
      <c r="I49" s="6" t="s">
        <v>992</v>
      </c>
      <c r="J49" s="6" t="s">
        <v>992</v>
      </c>
    </row>
    <row r="50" spans="4:10" x14ac:dyDescent="0.2">
      <c r="D50" s="5" t="s">
        <v>3189</v>
      </c>
      <c r="E50" s="5" t="s">
        <v>5430</v>
      </c>
      <c r="F50" s="5" t="s">
        <v>1527</v>
      </c>
      <c r="G50" s="6" t="s">
        <v>1492</v>
      </c>
      <c r="H50" s="6" t="s">
        <v>12134</v>
      </c>
      <c r="I50" s="6" t="s">
        <v>1517</v>
      </c>
      <c r="J50" s="6" t="s">
        <v>1517</v>
      </c>
    </row>
    <row r="51" spans="4:10" x14ac:dyDescent="0.2">
      <c r="D51" s="5" t="s">
        <v>3189</v>
      </c>
      <c r="E51" s="5" t="s">
        <v>5430</v>
      </c>
      <c r="F51" s="5" t="s">
        <v>8199</v>
      </c>
      <c r="G51" s="6" t="s">
        <v>1492</v>
      </c>
      <c r="H51" s="6" t="s">
        <v>13974</v>
      </c>
      <c r="I51" s="6" t="s">
        <v>8128</v>
      </c>
      <c r="J51" s="6" t="s">
        <v>8128</v>
      </c>
    </row>
    <row r="52" spans="4:10" x14ac:dyDescent="0.2">
      <c r="D52" s="5" t="s">
        <v>3189</v>
      </c>
      <c r="E52" s="5" t="s">
        <v>5430</v>
      </c>
      <c r="F52" s="5" t="s">
        <v>12995</v>
      </c>
      <c r="G52" s="6" t="s">
        <v>1492</v>
      </c>
      <c r="H52" s="6" t="s">
        <v>13974</v>
      </c>
      <c r="I52" s="6" t="s">
        <v>8128</v>
      </c>
      <c r="J52" s="6" t="s">
        <v>16890</v>
      </c>
    </row>
    <row r="53" spans="4:10" x14ac:dyDescent="0.2">
      <c r="D53" s="5" t="s">
        <v>1492</v>
      </c>
      <c r="E53" s="5" t="s">
        <v>11526</v>
      </c>
      <c r="F53" s="5" t="s">
        <v>1268</v>
      </c>
      <c r="G53" s="6" t="s">
        <v>1492</v>
      </c>
      <c r="H53" s="6" t="s">
        <v>13974</v>
      </c>
      <c r="I53" s="6" t="s">
        <v>14520</v>
      </c>
      <c r="J53" s="6" t="s">
        <v>17393</v>
      </c>
    </row>
    <row r="54" spans="4:10" x14ac:dyDescent="0.2">
      <c r="D54" s="5" t="s">
        <v>1492</v>
      </c>
      <c r="E54" s="5" t="s">
        <v>11526</v>
      </c>
      <c r="F54" s="5" t="s">
        <v>6616</v>
      </c>
      <c r="G54" s="6" t="s">
        <v>1492</v>
      </c>
      <c r="H54" s="6" t="s">
        <v>13974</v>
      </c>
      <c r="I54" s="6" t="s">
        <v>14520</v>
      </c>
      <c r="J54" s="6" t="s">
        <v>14520</v>
      </c>
    </row>
    <row r="55" spans="4:10" x14ac:dyDescent="0.2">
      <c r="D55" s="5" t="s">
        <v>1492</v>
      </c>
      <c r="E55" s="5" t="s">
        <v>11526</v>
      </c>
      <c r="F55" s="5" t="s">
        <v>6488</v>
      </c>
      <c r="G55" s="6" t="s">
        <v>1492</v>
      </c>
      <c r="H55" s="6" t="s">
        <v>13974</v>
      </c>
      <c r="I55" s="6" t="s">
        <v>14520</v>
      </c>
      <c r="J55" s="6" t="s">
        <v>4022</v>
      </c>
    </row>
    <row r="56" spans="4:10" x14ac:dyDescent="0.2">
      <c r="D56" s="5" t="s">
        <v>1492</v>
      </c>
      <c r="E56" s="5" t="s">
        <v>10528</v>
      </c>
      <c r="F56" s="5" t="s">
        <v>18318</v>
      </c>
      <c r="G56" s="6" t="s">
        <v>1492</v>
      </c>
      <c r="H56" s="6" t="s">
        <v>13974</v>
      </c>
      <c r="I56" s="6" t="s">
        <v>14520</v>
      </c>
      <c r="J56" s="6" t="s">
        <v>17970</v>
      </c>
    </row>
    <row r="57" spans="4:10" ht="22.5" x14ac:dyDescent="0.2">
      <c r="D57" s="5" t="s">
        <v>1492</v>
      </c>
      <c r="E57" s="5" t="s">
        <v>10528</v>
      </c>
      <c r="F57" s="5" t="s">
        <v>14981</v>
      </c>
      <c r="G57" s="6" t="s">
        <v>1492</v>
      </c>
      <c r="H57" s="6" t="s">
        <v>13974</v>
      </c>
      <c r="I57" s="6" t="s">
        <v>16865</v>
      </c>
      <c r="J57" s="6" t="s">
        <v>16865</v>
      </c>
    </row>
    <row r="58" spans="4:10" x14ac:dyDescent="0.2">
      <c r="D58" s="5" t="s">
        <v>1492</v>
      </c>
      <c r="E58" s="5" t="s">
        <v>10528</v>
      </c>
      <c r="F58" s="5" t="s">
        <v>12424</v>
      </c>
      <c r="G58" s="6" t="s">
        <v>1492</v>
      </c>
      <c r="H58" s="6" t="s">
        <v>13974</v>
      </c>
      <c r="I58" s="6" t="s">
        <v>4085</v>
      </c>
      <c r="J58" s="6" t="s">
        <v>4085</v>
      </c>
    </row>
    <row r="59" spans="4:10" ht="22.5" x14ac:dyDescent="0.2">
      <c r="D59" s="5" t="s">
        <v>1492</v>
      </c>
      <c r="E59" s="5" t="s">
        <v>13974</v>
      </c>
      <c r="F59" s="5" t="s">
        <v>8556</v>
      </c>
      <c r="G59" s="6" t="s">
        <v>1492</v>
      </c>
      <c r="H59" s="6" t="s">
        <v>13974</v>
      </c>
      <c r="I59" s="6" t="s">
        <v>8556</v>
      </c>
      <c r="J59" s="6" t="s">
        <v>8556</v>
      </c>
    </row>
    <row r="60" spans="4:10" x14ac:dyDescent="0.2">
      <c r="D60" s="5" t="s">
        <v>1492</v>
      </c>
      <c r="E60" s="5" t="s">
        <v>13974</v>
      </c>
      <c r="F60" s="5" t="s">
        <v>8128</v>
      </c>
      <c r="G60" s="6" t="s">
        <v>1492</v>
      </c>
      <c r="H60" s="6" t="s">
        <v>13974</v>
      </c>
      <c r="I60" s="6" t="s">
        <v>18800</v>
      </c>
      <c r="J60" s="6" t="s">
        <v>18800</v>
      </c>
    </row>
    <row r="61" spans="4:10" ht="22.5" x14ac:dyDescent="0.2">
      <c r="D61" s="5" t="s">
        <v>1492</v>
      </c>
      <c r="E61" s="5" t="s">
        <v>13974</v>
      </c>
      <c r="F61" s="5" t="s">
        <v>14520</v>
      </c>
      <c r="G61" s="6" t="s">
        <v>1492</v>
      </c>
      <c r="H61" s="6" t="s">
        <v>10528</v>
      </c>
      <c r="I61" s="6" t="s">
        <v>12424</v>
      </c>
      <c r="J61" s="6" t="s">
        <v>12424</v>
      </c>
    </row>
    <row r="62" spans="4:10" ht="22.5" x14ac:dyDescent="0.2">
      <c r="D62" s="5" t="s">
        <v>1492</v>
      </c>
      <c r="E62" s="5" t="s">
        <v>13974</v>
      </c>
      <c r="F62" s="5" t="s">
        <v>16865</v>
      </c>
      <c r="G62" s="6" t="s">
        <v>1492</v>
      </c>
      <c r="H62" s="6" t="s">
        <v>10528</v>
      </c>
      <c r="I62" s="6" t="s">
        <v>18318</v>
      </c>
      <c r="J62" s="6" t="s">
        <v>18318</v>
      </c>
    </row>
    <row r="63" spans="4:10" ht="22.5" x14ac:dyDescent="0.2">
      <c r="D63" s="5" t="s">
        <v>1492</v>
      </c>
      <c r="E63" s="5" t="s">
        <v>13974</v>
      </c>
      <c r="F63" s="5" t="s">
        <v>4085</v>
      </c>
      <c r="G63" s="6" t="s">
        <v>1492</v>
      </c>
      <c r="H63" s="6" t="s">
        <v>10528</v>
      </c>
      <c r="I63" s="6" t="s">
        <v>14981</v>
      </c>
      <c r="J63" s="6" t="s">
        <v>14981</v>
      </c>
    </row>
    <row r="64" spans="4:10" x14ac:dyDescent="0.2">
      <c r="D64" s="5" t="s">
        <v>1492</v>
      </c>
      <c r="E64" s="5" t="s">
        <v>13974</v>
      </c>
      <c r="F64" s="5" t="s">
        <v>18800</v>
      </c>
      <c r="G64" s="6" t="s">
        <v>1492</v>
      </c>
      <c r="H64" s="6" t="s">
        <v>11526</v>
      </c>
      <c r="I64" s="6" t="s">
        <v>6616</v>
      </c>
      <c r="J64" s="6" t="s">
        <v>3280</v>
      </c>
    </row>
    <row r="65" spans="4:10" x14ac:dyDescent="0.2">
      <c r="D65" s="5" t="s">
        <v>1492</v>
      </c>
      <c r="E65" s="5" t="s">
        <v>12134</v>
      </c>
      <c r="F65" s="5" t="s">
        <v>12134</v>
      </c>
      <c r="G65" s="6" t="s">
        <v>1492</v>
      </c>
      <c r="H65" s="6" t="s">
        <v>11526</v>
      </c>
      <c r="I65" s="6" t="s">
        <v>6616</v>
      </c>
      <c r="J65" s="6" t="s">
        <v>6616</v>
      </c>
    </row>
    <row r="66" spans="4:10" x14ac:dyDescent="0.2">
      <c r="D66" s="5" t="s">
        <v>1492</v>
      </c>
      <c r="E66" s="5" t="s">
        <v>12134</v>
      </c>
      <c r="F66" s="5" t="s">
        <v>10334</v>
      </c>
      <c r="G66" s="6" t="s">
        <v>1492</v>
      </c>
      <c r="H66" s="6" t="s">
        <v>11526</v>
      </c>
      <c r="I66" s="6" t="s">
        <v>6616</v>
      </c>
      <c r="J66" s="6" t="s">
        <v>9905</v>
      </c>
    </row>
    <row r="67" spans="4:10" x14ac:dyDescent="0.2">
      <c r="D67" s="5" t="s">
        <v>1492</v>
      </c>
      <c r="E67" s="5" t="s">
        <v>12134</v>
      </c>
      <c r="F67" s="5" t="s">
        <v>1517</v>
      </c>
      <c r="G67" s="6" t="s">
        <v>1492</v>
      </c>
      <c r="H67" s="6" t="s">
        <v>11526</v>
      </c>
      <c r="I67" s="6" t="s">
        <v>6616</v>
      </c>
      <c r="J67" s="6" t="s">
        <v>3746</v>
      </c>
    </row>
    <row r="68" spans="4:10" x14ac:dyDescent="0.2">
      <c r="D68" s="5" t="s">
        <v>1492</v>
      </c>
      <c r="E68" s="5" t="s">
        <v>12134</v>
      </c>
      <c r="F68" s="5" t="s">
        <v>992</v>
      </c>
      <c r="G68" s="6" t="s">
        <v>1492</v>
      </c>
      <c r="H68" s="6" t="s">
        <v>11526</v>
      </c>
      <c r="I68" s="6" t="s">
        <v>6616</v>
      </c>
      <c r="J68" s="6" t="s">
        <v>15207</v>
      </c>
    </row>
    <row r="69" spans="4:10" x14ac:dyDescent="0.2">
      <c r="D69" s="5" t="s">
        <v>1492</v>
      </c>
      <c r="E69" s="5" t="s">
        <v>12134</v>
      </c>
      <c r="F69" s="5" t="s">
        <v>18775</v>
      </c>
      <c r="G69" s="6" t="s">
        <v>1492</v>
      </c>
      <c r="H69" s="6" t="s">
        <v>11526</v>
      </c>
      <c r="I69" s="6" t="s">
        <v>6488</v>
      </c>
      <c r="J69" s="6" t="s">
        <v>14209</v>
      </c>
    </row>
    <row r="70" spans="4:10" x14ac:dyDescent="0.2">
      <c r="D70" s="5" t="s">
        <v>18355</v>
      </c>
      <c r="E70" s="5" t="s">
        <v>15160</v>
      </c>
      <c r="F70" s="5" t="s">
        <v>15160</v>
      </c>
      <c r="G70" s="6" t="s">
        <v>1492</v>
      </c>
      <c r="H70" s="6" t="s">
        <v>11526</v>
      </c>
      <c r="I70" s="6" t="s">
        <v>6488</v>
      </c>
      <c r="J70" s="6" t="s">
        <v>14275</v>
      </c>
    </row>
    <row r="71" spans="4:10" x14ac:dyDescent="0.2">
      <c r="D71" s="5" t="s">
        <v>18355</v>
      </c>
      <c r="E71" s="5" t="s">
        <v>15160</v>
      </c>
      <c r="F71" s="5" t="s">
        <v>7940</v>
      </c>
      <c r="G71" s="6" t="s">
        <v>1492</v>
      </c>
      <c r="H71" s="6" t="s">
        <v>11526</v>
      </c>
      <c r="I71" s="6" t="s">
        <v>6488</v>
      </c>
      <c r="J71" s="6" t="s">
        <v>6066</v>
      </c>
    </row>
    <row r="72" spans="4:10" x14ac:dyDescent="0.2">
      <c r="D72" s="5" t="s">
        <v>18355</v>
      </c>
      <c r="E72" s="5" t="s">
        <v>15160</v>
      </c>
      <c r="F72" s="5" t="s">
        <v>16185</v>
      </c>
      <c r="G72" s="6" t="s">
        <v>1492</v>
      </c>
      <c r="H72" s="6" t="s">
        <v>11526</v>
      </c>
      <c r="I72" s="6" t="s">
        <v>6488</v>
      </c>
      <c r="J72" s="6" t="s">
        <v>6488</v>
      </c>
    </row>
    <row r="73" spans="4:10" ht="22.5" x14ac:dyDescent="0.2">
      <c r="D73" s="5" t="s">
        <v>18355</v>
      </c>
      <c r="E73" s="5" t="s">
        <v>15160</v>
      </c>
      <c r="F73" s="5" t="s">
        <v>17636</v>
      </c>
      <c r="G73" s="6" t="s">
        <v>1492</v>
      </c>
      <c r="H73" s="6" t="s">
        <v>11526</v>
      </c>
      <c r="I73" s="6" t="s">
        <v>1268</v>
      </c>
      <c r="J73" s="6" t="s">
        <v>17132</v>
      </c>
    </row>
    <row r="74" spans="4:10" ht="22.5" x14ac:dyDescent="0.2">
      <c r="D74" s="5" t="s">
        <v>18355</v>
      </c>
      <c r="E74" s="5" t="s">
        <v>15160</v>
      </c>
      <c r="F74" s="5" t="s">
        <v>15624</v>
      </c>
      <c r="G74" s="6" t="s">
        <v>1492</v>
      </c>
      <c r="H74" s="6" t="s">
        <v>11526</v>
      </c>
      <c r="I74" s="6" t="s">
        <v>1268</v>
      </c>
      <c r="J74" s="6" t="s">
        <v>13250</v>
      </c>
    </row>
    <row r="75" spans="4:10" ht="22.5" x14ac:dyDescent="0.2">
      <c r="D75" s="5" t="s">
        <v>18355</v>
      </c>
      <c r="E75" s="5" t="s">
        <v>15160</v>
      </c>
      <c r="F75" s="5" t="s">
        <v>12498</v>
      </c>
      <c r="G75" s="6" t="s">
        <v>1492</v>
      </c>
      <c r="H75" s="6" t="s">
        <v>11526</v>
      </c>
      <c r="I75" s="6" t="s">
        <v>1268</v>
      </c>
      <c r="J75" s="6" t="s">
        <v>9786</v>
      </c>
    </row>
    <row r="76" spans="4:10" ht="22.5" x14ac:dyDescent="0.2">
      <c r="D76" s="5" t="s">
        <v>18355</v>
      </c>
      <c r="E76" s="5" t="s">
        <v>15160</v>
      </c>
      <c r="F76" s="5" t="s">
        <v>457</v>
      </c>
      <c r="G76" s="6" t="s">
        <v>1492</v>
      </c>
      <c r="H76" s="6" t="s">
        <v>11526</v>
      </c>
      <c r="I76" s="6" t="s">
        <v>1268</v>
      </c>
      <c r="J76" s="6" t="s">
        <v>1268</v>
      </c>
    </row>
    <row r="77" spans="4:10" ht="22.5" x14ac:dyDescent="0.2">
      <c r="D77" s="5" t="s">
        <v>18355</v>
      </c>
      <c r="E77" s="5" t="s">
        <v>15160</v>
      </c>
      <c r="F77" s="5" t="s">
        <v>18274</v>
      </c>
      <c r="G77" s="6" t="s">
        <v>1709</v>
      </c>
      <c r="H77" s="6" t="s">
        <v>17756</v>
      </c>
      <c r="I77" s="6" t="s">
        <v>46</v>
      </c>
      <c r="J77" s="6" t="s">
        <v>46</v>
      </c>
    </row>
    <row r="78" spans="4:10" ht="22.5" x14ac:dyDescent="0.2">
      <c r="D78" s="5" t="s">
        <v>18355</v>
      </c>
      <c r="E78" s="5" t="s">
        <v>5155</v>
      </c>
      <c r="F78" s="5" t="s">
        <v>9102</v>
      </c>
      <c r="G78" s="6" t="s">
        <v>1709</v>
      </c>
      <c r="H78" s="6" t="s">
        <v>17756</v>
      </c>
      <c r="I78" s="6" t="s">
        <v>13270</v>
      </c>
      <c r="J78" s="6" t="s">
        <v>13270</v>
      </c>
    </row>
    <row r="79" spans="4:10" ht="22.5" x14ac:dyDescent="0.2">
      <c r="D79" s="5" t="s">
        <v>18355</v>
      </c>
      <c r="E79" s="5" t="s">
        <v>5155</v>
      </c>
      <c r="F79" s="5" t="s">
        <v>15523</v>
      </c>
      <c r="G79" s="6" t="s">
        <v>1709</v>
      </c>
      <c r="H79" s="6" t="s">
        <v>17756</v>
      </c>
      <c r="I79" s="6" t="s">
        <v>13270</v>
      </c>
      <c r="J79" s="6" t="s">
        <v>13370</v>
      </c>
    </row>
    <row r="80" spans="4:10" ht="22.5" x14ac:dyDescent="0.2">
      <c r="D80" s="5" t="s">
        <v>18355</v>
      </c>
      <c r="E80" s="5" t="s">
        <v>2170</v>
      </c>
      <c r="F80" s="5" t="s">
        <v>2170</v>
      </c>
      <c r="G80" s="6" t="s">
        <v>1709</v>
      </c>
      <c r="H80" s="6" t="s">
        <v>17756</v>
      </c>
      <c r="I80" s="6" t="s">
        <v>13270</v>
      </c>
      <c r="J80" s="6" t="s">
        <v>11512</v>
      </c>
    </row>
    <row r="81" spans="4:10" ht="22.5" x14ac:dyDescent="0.2">
      <c r="D81" s="5" t="s">
        <v>18355</v>
      </c>
      <c r="E81" s="5" t="s">
        <v>2170</v>
      </c>
      <c r="F81" s="5" t="s">
        <v>9564</v>
      </c>
      <c r="G81" s="6" t="s">
        <v>1709</v>
      </c>
      <c r="H81" s="6" t="s">
        <v>17756</v>
      </c>
      <c r="I81" s="6" t="s">
        <v>13270</v>
      </c>
      <c r="J81" s="6" t="s">
        <v>1434</v>
      </c>
    </row>
    <row r="82" spans="4:10" x14ac:dyDescent="0.2">
      <c r="D82" s="5" t="s">
        <v>18355</v>
      </c>
      <c r="E82" s="5" t="s">
        <v>2170</v>
      </c>
      <c r="F82" s="5" t="s">
        <v>382</v>
      </c>
      <c r="G82" s="6" t="s">
        <v>1709</v>
      </c>
      <c r="H82" s="6" t="s">
        <v>17756</v>
      </c>
      <c r="I82" s="6" t="s">
        <v>3364</v>
      </c>
      <c r="J82" s="6" t="s">
        <v>3364</v>
      </c>
    </row>
    <row r="83" spans="4:10" x14ac:dyDescent="0.2">
      <c r="D83" s="5" t="s">
        <v>18355</v>
      </c>
      <c r="E83" s="5" t="s">
        <v>6673</v>
      </c>
      <c r="F83" s="5" t="s">
        <v>51</v>
      </c>
      <c r="G83" s="6" t="s">
        <v>1709</v>
      </c>
      <c r="H83" s="6" t="s">
        <v>17756</v>
      </c>
      <c r="I83" s="6" t="s">
        <v>4881</v>
      </c>
      <c r="J83" s="6" t="s">
        <v>3916</v>
      </c>
    </row>
    <row r="84" spans="4:10" x14ac:dyDescent="0.2">
      <c r="D84" s="5" t="s">
        <v>18355</v>
      </c>
      <c r="E84" s="5" t="s">
        <v>6673</v>
      </c>
      <c r="F84" s="5" t="s">
        <v>2410</v>
      </c>
      <c r="G84" s="6" t="s">
        <v>1709</v>
      </c>
      <c r="H84" s="6" t="s">
        <v>17756</v>
      </c>
      <c r="I84" s="6" t="s">
        <v>4881</v>
      </c>
      <c r="J84" s="6" t="s">
        <v>1684</v>
      </c>
    </row>
    <row r="85" spans="4:10" x14ac:dyDescent="0.2">
      <c r="D85" s="5" t="s">
        <v>18355</v>
      </c>
      <c r="E85" s="5" t="s">
        <v>6673</v>
      </c>
      <c r="F85" s="5" t="s">
        <v>9653</v>
      </c>
      <c r="G85" s="6" t="s">
        <v>1709</v>
      </c>
      <c r="H85" s="6" t="s">
        <v>17756</v>
      </c>
      <c r="I85" s="6" t="s">
        <v>4881</v>
      </c>
      <c r="J85" s="6" t="s">
        <v>5557</v>
      </c>
    </row>
    <row r="86" spans="4:10" x14ac:dyDescent="0.2">
      <c r="D86" s="5" t="s">
        <v>18355</v>
      </c>
      <c r="E86" s="5" t="s">
        <v>6673</v>
      </c>
      <c r="F86" s="5" t="s">
        <v>12891</v>
      </c>
      <c r="G86" s="6" t="s">
        <v>1709</v>
      </c>
      <c r="H86" s="6" t="s">
        <v>17756</v>
      </c>
      <c r="I86" s="6" t="s">
        <v>4881</v>
      </c>
      <c r="J86" s="6" t="s">
        <v>4685</v>
      </c>
    </row>
    <row r="87" spans="4:10" x14ac:dyDescent="0.2">
      <c r="D87" s="5" t="s">
        <v>18355</v>
      </c>
      <c r="E87" s="5" t="s">
        <v>6673</v>
      </c>
      <c r="F87" s="5" t="s">
        <v>868</v>
      </c>
      <c r="G87" s="6" t="s">
        <v>1709</v>
      </c>
      <c r="H87" s="6" t="s">
        <v>17756</v>
      </c>
      <c r="I87" s="6" t="s">
        <v>4881</v>
      </c>
      <c r="J87" s="6" t="s">
        <v>10749</v>
      </c>
    </row>
    <row r="88" spans="4:10" x14ac:dyDescent="0.2">
      <c r="D88" s="5" t="s">
        <v>18355</v>
      </c>
      <c r="E88" s="5" t="s">
        <v>6673</v>
      </c>
      <c r="F88" s="5" t="s">
        <v>14655</v>
      </c>
      <c r="G88" s="6" t="s">
        <v>1709</v>
      </c>
      <c r="H88" s="6" t="s">
        <v>17756</v>
      </c>
      <c r="I88" s="6" t="s">
        <v>4881</v>
      </c>
      <c r="J88" s="6" t="s">
        <v>18323</v>
      </c>
    </row>
    <row r="89" spans="4:10" x14ac:dyDescent="0.2">
      <c r="D89" s="5" t="s">
        <v>18355</v>
      </c>
      <c r="E89" s="5" t="s">
        <v>6673</v>
      </c>
      <c r="F89" s="5" t="s">
        <v>12422</v>
      </c>
      <c r="G89" s="6" t="s">
        <v>1709</v>
      </c>
      <c r="H89" s="6" t="s">
        <v>17756</v>
      </c>
      <c r="I89" s="6" t="s">
        <v>4881</v>
      </c>
      <c r="J89" s="6" t="s">
        <v>4881</v>
      </c>
    </row>
    <row r="90" spans="4:10" x14ac:dyDescent="0.2">
      <c r="D90" s="5" t="s">
        <v>18355</v>
      </c>
      <c r="E90" s="5" t="s">
        <v>6673</v>
      </c>
      <c r="F90" s="5" t="s">
        <v>11180</v>
      </c>
      <c r="G90" s="6" t="s">
        <v>1709</v>
      </c>
      <c r="H90" s="6" t="s">
        <v>17756</v>
      </c>
      <c r="I90" s="6" t="s">
        <v>4881</v>
      </c>
      <c r="J90" s="6" t="s">
        <v>6599</v>
      </c>
    </row>
    <row r="91" spans="4:10" x14ac:dyDescent="0.2">
      <c r="D91" s="5" t="s">
        <v>18355</v>
      </c>
      <c r="E91" s="5" t="s">
        <v>6673</v>
      </c>
      <c r="F91" s="5" t="s">
        <v>8008</v>
      </c>
      <c r="G91" s="6" t="s">
        <v>1709</v>
      </c>
      <c r="H91" s="6" t="s">
        <v>17756</v>
      </c>
      <c r="I91" s="6" t="s">
        <v>4881</v>
      </c>
      <c r="J91" s="6" t="s">
        <v>10711</v>
      </c>
    </row>
    <row r="92" spans="4:10" x14ac:dyDescent="0.2">
      <c r="D92" s="5" t="s">
        <v>18355</v>
      </c>
      <c r="E92" s="5" t="s">
        <v>6673</v>
      </c>
      <c r="F92" s="5" t="s">
        <v>2227</v>
      </c>
      <c r="G92" s="6" t="s">
        <v>1709</v>
      </c>
      <c r="H92" s="6" t="s">
        <v>12631</v>
      </c>
      <c r="I92" s="6" t="s">
        <v>18403</v>
      </c>
      <c r="J92" s="6" t="s">
        <v>18403</v>
      </c>
    </row>
    <row r="93" spans="4:10" x14ac:dyDescent="0.2">
      <c r="D93" s="5" t="s">
        <v>5957</v>
      </c>
      <c r="E93" s="5" t="s">
        <v>2698</v>
      </c>
      <c r="F93" s="5" t="s">
        <v>11267</v>
      </c>
      <c r="G93" s="6" t="s">
        <v>1709</v>
      </c>
      <c r="H93" s="6" t="s">
        <v>12631</v>
      </c>
      <c r="I93" s="6" t="s">
        <v>18403</v>
      </c>
      <c r="J93" s="6" t="s">
        <v>17165</v>
      </c>
    </row>
    <row r="94" spans="4:10" x14ac:dyDescent="0.2">
      <c r="D94" s="5" t="s">
        <v>5957</v>
      </c>
      <c r="E94" s="5" t="s">
        <v>2698</v>
      </c>
      <c r="F94" s="5" t="s">
        <v>7099</v>
      </c>
      <c r="G94" s="6" t="s">
        <v>1709</v>
      </c>
      <c r="H94" s="6" t="s">
        <v>12631</v>
      </c>
      <c r="I94" s="6" t="s">
        <v>549</v>
      </c>
      <c r="J94" s="6" t="s">
        <v>549</v>
      </c>
    </row>
    <row r="95" spans="4:10" x14ac:dyDescent="0.2">
      <c r="D95" s="5" t="s">
        <v>5957</v>
      </c>
      <c r="E95" s="5" t="s">
        <v>2698</v>
      </c>
      <c r="F95" s="5" t="s">
        <v>15448</v>
      </c>
      <c r="G95" s="6" t="s">
        <v>1709</v>
      </c>
      <c r="H95" s="6" t="s">
        <v>12631</v>
      </c>
      <c r="I95" s="6" t="s">
        <v>18116</v>
      </c>
      <c r="J95" s="6" t="s">
        <v>18116</v>
      </c>
    </row>
    <row r="96" spans="4:10" x14ac:dyDescent="0.2">
      <c r="D96" s="5" t="s">
        <v>5957</v>
      </c>
      <c r="E96" s="5" t="s">
        <v>2698</v>
      </c>
      <c r="F96" s="5" t="s">
        <v>4288</v>
      </c>
      <c r="G96" s="6" t="s">
        <v>1709</v>
      </c>
      <c r="H96" s="6" t="s">
        <v>12631</v>
      </c>
      <c r="I96" s="6" t="s">
        <v>1018</v>
      </c>
      <c r="J96" s="6" t="s">
        <v>1018</v>
      </c>
    </row>
    <row r="97" spans="4:10" x14ac:dyDescent="0.2">
      <c r="D97" s="5" t="s">
        <v>5957</v>
      </c>
      <c r="E97" s="5" t="s">
        <v>2698</v>
      </c>
      <c r="F97" s="5" t="s">
        <v>12928</v>
      </c>
      <c r="G97" s="6" t="s">
        <v>1709</v>
      </c>
      <c r="H97" s="6" t="s">
        <v>12631</v>
      </c>
      <c r="I97" s="6" t="s">
        <v>1018</v>
      </c>
      <c r="J97" s="6" t="s">
        <v>12251</v>
      </c>
    </row>
    <row r="98" spans="4:10" x14ac:dyDescent="0.2">
      <c r="D98" s="5" t="s">
        <v>5957</v>
      </c>
      <c r="E98" s="5" t="s">
        <v>2698</v>
      </c>
      <c r="F98" s="5" t="s">
        <v>4564</v>
      </c>
      <c r="G98" s="6" t="s">
        <v>1709</v>
      </c>
      <c r="H98" s="6" t="s">
        <v>12631</v>
      </c>
      <c r="I98" s="6" t="s">
        <v>4048</v>
      </c>
      <c r="J98" s="6" t="s">
        <v>9412</v>
      </c>
    </row>
    <row r="99" spans="4:10" ht="22.5" x14ac:dyDescent="0.2">
      <c r="D99" s="5" t="s">
        <v>5957</v>
      </c>
      <c r="E99" s="5" t="s">
        <v>2698</v>
      </c>
      <c r="F99" s="5" t="s">
        <v>1400</v>
      </c>
      <c r="G99" s="6" t="s">
        <v>1709</v>
      </c>
      <c r="H99" s="6" t="s">
        <v>12631</v>
      </c>
      <c r="I99" s="6" t="s">
        <v>4048</v>
      </c>
      <c r="J99" s="6" t="s">
        <v>9985</v>
      </c>
    </row>
    <row r="100" spans="4:10" x14ac:dyDescent="0.2">
      <c r="D100" s="5" t="s">
        <v>5957</v>
      </c>
      <c r="E100" s="5" t="s">
        <v>2698</v>
      </c>
      <c r="F100" s="5" t="s">
        <v>10380</v>
      </c>
      <c r="G100" s="6" t="s">
        <v>1709</v>
      </c>
      <c r="H100" s="6" t="s">
        <v>12631</v>
      </c>
      <c r="I100" s="6" t="s">
        <v>4048</v>
      </c>
      <c r="J100" s="6" t="s">
        <v>12502</v>
      </c>
    </row>
    <row r="101" spans="4:10" x14ac:dyDescent="0.2">
      <c r="D101" s="5" t="s">
        <v>5957</v>
      </c>
      <c r="E101" s="5" t="s">
        <v>2698</v>
      </c>
      <c r="F101" s="5" t="s">
        <v>10074</v>
      </c>
      <c r="G101" s="6" t="s">
        <v>1709</v>
      </c>
      <c r="H101" s="6" t="s">
        <v>12631</v>
      </c>
      <c r="I101" s="6" t="s">
        <v>4048</v>
      </c>
      <c r="J101" s="6" t="s">
        <v>4048</v>
      </c>
    </row>
    <row r="102" spans="4:10" ht="22.5" x14ac:dyDescent="0.2">
      <c r="D102" s="5" t="s">
        <v>5957</v>
      </c>
      <c r="E102" s="5" t="s">
        <v>2698</v>
      </c>
      <c r="F102" s="5" t="s">
        <v>11009</v>
      </c>
      <c r="G102" s="6" t="s">
        <v>1709</v>
      </c>
      <c r="H102" s="6" t="s">
        <v>12631</v>
      </c>
      <c r="I102" s="6" t="s">
        <v>17502</v>
      </c>
      <c r="J102" s="6" t="s">
        <v>5828</v>
      </c>
    </row>
    <row r="103" spans="4:10" ht="22.5" x14ac:dyDescent="0.2">
      <c r="D103" s="5" t="s">
        <v>5957</v>
      </c>
      <c r="E103" s="5" t="s">
        <v>2698</v>
      </c>
      <c r="F103" s="5" t="s">
        <v>5542</v>
      </c>
      <c r="G103" s="6" t="s">
        <v>1709</v>
      </c>
      <c r="H103" s="6" t="s">
        <v>12631</v>
      </c>
      <c r="I103" s="6" t="s">
        <v>17502</v>
      </c>
      <c r="J103" s="6" t="s">
        <v>17502</v>
      </c>
    </row>
    <row r="104" spans="4:10" ht="22.5" x14ac:dyDescent="0.2">
      <c r="D104" s="5" t="s">
        <v>5957</v>
      </c>
      <c r="E104" s="5" t="s">
        <v>5614</v>
      </c>
      <c r="F104" s="5" t="s">
        <v>12132</v>
      </c>
      <c r="G104" s="6" t="s">
        <v>1709</v>
      </c>
      <c r="H104" s="6" t="s">
        <v>12631</v>
      </c>
      <c r="I104" s="6" t="s">
        <v>17502</v>
      </c>
      <c r="J104" s="6" t="s">
        <v>16577</v>
      </c>
    </row>
    <row r="105" spans="4:10" x14ac:dyDescent="0.2">
      <c r="D105" s="5" t="s">
        <v>5957</v>
      </c>
      <c r="E105" s="5" t="s">
        <v>5614</v>
      </c>
      <c r="F105" s="5" t="s">
        <v>14256</v>
      </c>
      <c r="G105" s="6" t="s">
        <v>1709</v>
      </c>
      <c r="H105" s="6" t="s">
        <v>12631</v>
      </c>
      <c r="I105" s="6" t="s">
        <v>2292</v>
      </c>
      <c r="J105" s="6" t="s">
        <v>4423</v>
      </c>
    </row>
    <row r="106" spans="4:10" x14ac:dyDescent="0.2">
      <c r="D106" s="5" t="s">
        <v>5957</v>
      </c>
      <c r="E106" s="5" t="s">
        <v>5614</v>
      </c>
      <c r="F106" s="5" t="s">
        <v>7319</v>
      </c>
      <c r="G106" s="6" t="s">
        <v>1709</v>
      </c>
      <c r="H106" s="6" t="s">
        <v>12631</v>
      </c>
      <c r="I106" s="6" t="s">
        <v>2292</v>
      </c>
      <c r="J106" s="6" t="s">
        <v>5326</v>
      </c>
    </row>
    <row r="107" spans="4:10" x14ac:dyDescent="0.2">
      <c r="D107" s="5" t="s">
        <v>5957</v>
      </c>
      <c r="E107" s="5" t="s">
        <v>5614</v>
      </c>
      <c r="F107" s="5" t="s">
        <v>5656</v>
      </c>
      <c r="G107" s="6" t="s">
        <v>1709</v>
      </c>
      <c r="H107" s="6" t="s">
        <v>12631</v>
      </c>
      <c r="I107" s="6" t="s">
        <v>2292</v>
      </c>
      <c r="J107" s="6" t="s">
        <v>2292</v>
      </c>
    </row>
    <row r="108" spans="4:10" x14ac:dyDescent="0.2">
      <c r="D108" s="5" t="s">
        <v>5957</v>
      </c>
      <c r="E108" s="5" t="s">
        <v>5614</v>
      </c>
      <c r="F108" s="5" t="s">
        <v>13097</v>
      </c>
      <c r="G108" s="6" t="s">
        <v>1709</v>
      </c>
      <c r="H108" s="6" t="s">
        <v>12631</v>
      </c>
      <c r="I108" s="6" t="s">
        <v>7245</v>
      </c>
      <c r="J108" s="6" t="s">
        <v>11375</v>
      </c>
    </row>
    <row r="109" spans="4:10" x14ac:dyDescent="0.2">
      <c r="D109" s="5" t="s">
        <v>5957</v>
      </c>
      <c r="E109" s="5" t="s">
        <v>18823</v>
      </c>
      <c r="F109" s="5" t="s">
        <v>18823</v>
      </c>
      <c r="G109" s="6" t="s">
        <v>1709</v>
      </c>
      <c r="H109" s="6" t="s">
        <v>12631</v>
      </c>
      <c r="I109" s="6" t="s">
        <v>7245</v>
      </c>
      <c r="J109" s="6" t="s">
        <v>6866</v>
      </c>
    </row>
    <row r="110" spans="4:10" x14ac:dyDescent="0.2">
      <c r="D110" s="5" t="s">
        <v>5957</v>
      </c>
      <c r="E110" s="5" t="s">
        <v>18823</v>
      </c>
      <c r="F110" s="5" t="s">
        <v>10495</v>
      </c>
      <c r="G110" s="6" t="s">
        <v>1709</v>
      </c>
      <c r="H110" s="6" t="s">
        <v>12631</v>
      </c>
      <c r="I110" s="6" t="s">
        <v>7245</v>
      </c>
      <c r="J110" s="6" t="s">
        <v>9772</v>
      </c>
    </row>
    <row r="111" spans="4:10" x14ac:dyDescent="0.2">
      <c r="D111" s="5" t="s">
        <v>5957</v>
      </c>
      <c r="E111" s="5" t="s">
        <v>12705</v>
      </c>
      <c r="F111" s="5" t="s">
        <v>5605</v>
      </c>
      <c r="G111" s="6" t="s">
        <v>1709</v>
      </c>
      <c r="H111" s="6" t="s">
        <v>12631</v>
      </c>
      <c r="I111" s="6" t="s">
        <v>7245</v>
      </c>
      <c r="J111" s="6" t="s">
        <v>7245</v>
      </c>
    </row>
    <row r="112" spans="4:10" x14ac:dyDescent="0.2">
      <c r="D112" s="5" t="s">
        <v>5957</v>
      </c>
      <c r="E112" s="5" t="s">
        <v>12705</v>
      </c>
      <c r="F112" s="5" t="s">
        <v>11024</v>
      </c>
      <c r="G112" s="6" t="s">
        <v>1709</v>
      </c>
      <c r="H112" s="6" t="s">
        <v>12631</v>
      </c>
      <c r="I112" s="6" t="s">
        <v>1623</v>
      </c>
      <c r="J112" s="6" t="s">
        <v>1623</v>
      </c>
    </row>
    <row r="113" spans="4:10" x14ac:dyDescent="0.2">
      <c r="D113" s="5" t="s">
        <v>5957</v>
      </c>
      <c r="E113" s="5" t="s">
        <v>12705</v>
      </c>
      <c r="F113" s="5" t="s">
        <v>10764</v>
      </c>
      <c r="G113" s="6" t="s">
        <v>1709</v>
      </c>
      <c r="H113" s="6" t="s">
        <v>8807</v>
      </c>
      <c r="I113" s="6" t="s">
        <v>1675</v>
      </c>
      <c r="J113" s="6" t="s">
        <v>194</v>
      </c>
    </row>
    <row r="114" spans="4:10" x14ac:dyDescent="0.2">
      <c r="D114" s="5" t="s">
        <v>5957</v>
      </c>
      <c r="E114" s="5" t="s">
        <v>12705</v>
      </c>
      <c r="F114" s="5" t="s">
        <v>14793</v>
      </c>
      <c r="G114" s="6" t="s">
        <v>1709</v>
      </c>
      <c r="H114" s="6" t="s">
        <v>8807</v>
      </c>
      <c r="I114" s="6" t="s">
        <v>1675</v>
      </c>
      <c r="J114" s="6" t="s">
        <v>1675</v>
      </c>
    </row>
    <row r="115" spans="4:10" x14ac:dyDescent="0.2">
      <c r="D115" s="5" t="s">
        <v>5957</v>
      </c>
      <c r="E115" s="5" t="s">
        <v>12705</v>
      </c>
      <c r="F115" s="5" t="s">
        <v>11956</v>
      </c>
      <c r="G115" s="6" t="s">
        <v>1709</v>
      </c>
      <c r="H115" s="6" t="s">
        <v>8807</v>
      </c>
      <c r="I115" s="6" t="s">
        <v>1675</v>
      </c>
      <c r="J115" s="6" t="s">
        <v>18276</v>
      </c>
    </row>
    <row r="116" spans="4:10" x14ac:dyDescent="0.2">
      <c r="D116" s="5" t="s">
        <v>5957</v>
      </c>
      <c r="E116" s="5" t="s">
        <v>12705</v>
      </c>
      <c r="F116" s="5" t="s">
        <v>8766</v>
      </c>
      <c r="G116" s="6" t="s">
        <v>1709</v>
      </c>
      <c r="H116" s="6" t="s">
        <v>8807</v>
      </c>
      <c r="I116" s="6" t="s">
        <v>9128</v>
      </c>
      <c r="J116" s="6" t="s">
        <v>8002</v>
      </c>
    </row>
    <row r="117" spans="4:10" x14ac:dyDescent="0.2">
      <c r="D117" s="5" t="s">
        <v>12507</v>
      </c>
      <c r="E117" s="5" t="s">
        <v>3429</v>
      </c>
      <c r="F117" s="5" t="s">
        <v>15181</v>
      </c>
      <c r="G117" s="6" t="s">
        <v>1709</v>
      </c>
      <c r="H117" s="6" t="s">
        <v>8807</v>
      </c>
      <c r="I117" s="6" t="s">
        <v>9128</v>
      </c>
      <c r="J117" s="6" t="s">
        <v>9128</v>
      </c>
    </row>
    <row r="118" spans="4:10" x14ac:dyDescent="0.2">
      <c r="D118" s="5" t="s">
        <v>12507</v>
      </c>
      <c r="E118" s="5" t="s">
        <v>3429</v>
      </c>
      <c r="F118" s="5" t="s">
        <v>14587</v>
      </c>
      <c r="G118" s="6" t="s">
        <v>1709</v>
      </c>
      <c r="H118" s="6" t="s">
        <v>8807</v>
      </c>
      <c r="I118" s="6" t="s">
        <v>15234</v>
      </c>
      <c r="J118" s="6" t="s">
        <v>12813</v>
      </c>
    </row>
    <row r="119" spans="4:10" x14ac:dyDescent="0.2">
      <c r="D119" s="5" t="s">
        <v>12507</v>
      </c>
      <c r="E119" s="5" t="s">
        <v>3429</v>
      </c>
      <c r="F119" s="5" t="s">
        <v>14150</v>
      </c>
      <c r="G119" s="6" t="s">
        <v>1709</v>
      </c>
      <c r="H119" s="6" t="s">
        <v>8807</v>
      </c>
      <c r="I119" s="6" t="s">
        <v>15234</v>
      </c>
      <c r="J119" s="6" t="s">
        <v>2410</v>
      </c>
    </row>
    <row r="120" spans="4:10" x14ac:dyDescent="0.2">
      <c r="D120" s="5" t="s">
        <v>12507</v>
      </c>
      <c r="E120" s="5" t="s">
        <v>3429</v>
      </c>
      <c r="F120" s="5" t="s">
        <v>10320</v>
      </c>
      <c r="G120" s="6" t="s">
        <v>1709</v>
      </c>
      <c r="H120" s="6" t="s">
        <v>8807</v>
      </c>
      <c r="I120" s="6" t="s">
        <v>15234</v>
      </c>
      <c r="J120" s="6" t="s">
        <v>15234</v>
      </c>
    </row>
    <row r="121" spans="4:10" x14ac:dyDescent="0.2">
      <c r="D121" s="5" t="s">
        <v>12507</v>
      </c>
      <c r="E121" s="5" t="s">
        <v>3429</v>
      </c>
      <c r="F121" s="5" t="s">
        <v>18263</v>
      </c>
      <c r="G121" s="6" t="s">
        <v>1709</v>
      </c>
      <c r="H121" s="6" t="s">
        <v>8807</v>
      </c>
      <c r="I121" s="6" t="s">
        <v>4315</v>
      </c>
      <c r="J121" s="6" t="s">
        <v>4315</v>
      </c>
    </row>
    <row r="122" spans="4:10" ht="22.5" x14ac:dyDescent="0.2">
      <c r="D122" s="5" t="s">
        <v>12507</v>
      </c>
      <c r="E122" s="5" t="s">
        <v>3429</v>
      </c>
      <c r="F122" s="5" t="s">
        <v>13827</v>
      </c>
      <c r="G122" s="6" t="s">
        <v>1709</v>
      </c>
      <c r="H122" s="6" t="s">
        <v>8807</v>
      </c>
      <c r="I122" s="6" t="s">
        <v>13556</v>
      </c>
      <c r="J122" s="6" t="s">
        <v>12605</v>
      </c>
    </row>
    <row r="123" spans="4:10" ht="22.5" x14ac:dyDescent="0.2">
      <c r="D123" s="5" t="s">
        <v>12507</v>
      </c>
      <c r="E123" s="5" t="s">
        <v>2459</v>
      </c>
      <c r="F123" s="5" t="s">
        <v>8751</v>
      </c>
      <c r="G123" s="6" t="s">
        <v>1709</v>
      </c>
      <c r="H123" s="6" t="s">
        <v>8807</v>
      </c>
      <c r="I123" s="6" t="s">
        <v>13556</v>
      </c>
      <c r="J123" s="6" t="s">
        <v>13679</v>
      </c>
    </row>
    <row r="124" spans="4:10" ht="22.5" x14ac:dyDescent="0.2">
      <c r="D124" s="5" t="s">
        <v>12507</v>
      </c>
      <c r="E124" s="5" t="s">
        <v>2459</v>
      </c>
      <c r="F124" s="5" t="s">
        <v>14611</v>
      </c>
      <c r="G124" s="6" t="s">
        <v>1709</v>
      </c>
      <c r="H124" s="6" t="s">
        <v>8807</v>
      </c>
      <c r="I124" s="6" t="s">
        <v>13556</v>
      </c>
      <c r="J124" s="6" t="s">
        <v>18591</v>
      </c>
    </row>
    <row r="125" spans="4:10" ht="22.5" x14ac:dyDescent="0.2">
      <c r="D125" s="5" t="s">
        <v>12507</v>
      </c>
      <c r="E125" s="5" t="s">
        <v>2459</v>
      </c>
      <c r="F125" s="5" t="s">
        <v>3654</v>
      </c>
      <c r="G125" s="6" t="s">
        <v>1709</v>
      </c>
      <c r="H125" s="6" t="s">
        <v>8807</v>
      </c>
      <c r="I125" s="6" t="s">
        <v>13556</v>
      </c>
      <c r="J125" s="6" t="s">
        <v>13556</v>
      </c>
    </row>
    <row r="126" spans="4:10" ht="22.5" x14ac:dyDescent="0.2">
      <c r="D126" s="5" t="s">
        <v>12507</v>
      </c>
      <c r="E126" s="5" t="s">
        <v>2459</v>
      </c>
      <c r="F126" s="5" t="s">
        <v>5786</v>
      </c>
      <c r="G126" s="6" t="s">
        <v>1709</v>
      </c>
      <c r="H126" s="6" t="s">
        <v>8807</v>
      </c>
      <c r="I126" s="6" t="s">
        <v>3718</v>
      </c>
      <c r="J126" s="6" t="s">
        <v>9342</v>
      </c>
    </row>
    <row r="127" spans="4:10" ht="22.5" x14ac:dyDescent="0.2">
      <c r="D127" s="5" t="s">
        <v>12507</v>
      </c>
      <c r="E127" s="5" t="s">
        <v>2459</v>
      </c>
      <c r="F127" s="5" t="s">
        <v>10697</v>
      </c>
      <c r="G127" s="6" t="s">
        <v>1709</v>
      </c>
      <c r="H127" s="6" t="s">
        <v>8807</v>
      </c>
      <c r="I127" s="6" t="s">
        <v>3718</v>
      </c>
      <c r="J127" s="6" t="s">
        <v>13028</v>
      </c>
    </row>
    <row r="128" spans="4:10" ht="22.5" x14ac:dyDescent="0.2">
      <c r="D128" s="5" t="s">
        <v>12507</v>
      </c>
      <c r="E128" s="5" t="s">
        <v>2459</v>
      </c>
      <c r="F128" s="5" t="s">
        <v>15718</v>
      </c>
      <c r="G128" s="6" t="s">
        <v>1709</v>
      </c>
      <c r="H128" s="6" t="s">
        <v>8807</v>
      </c>
      <c r="I128" s="6" t="s">
        <v>3718</v>
      </c>
      <c r="J128" s="6" t="s">
        <v>11050</v>
      </c>
    </row>
    <row r="129" spans="4:10" ht="22.5" x14ac:dyDescent="0.2">
      <c r="D129" s="5" t="s">
        <v>17538</v>
      </c>
      <c r="E129" s="5" t="s">
        <v>7757</v>
      </c>
      <c r="F129" s="5" t="s">
        <v>7757</v>
      </c>
      <c r="G129" s="6" t="s">
        <v>1709</v>
      </c>
      <c r="H129" s="6" t="s">
        <v>8807</v>
      </c>
      <c r="I129" s="6" t="s">
        <v>3718</v>
      </c>
      <c r="J129" s="6" t="s">
        <v>6834</v>
      </c>
    </row>
    <row r="130" spans="4:10" ht="22.5" x14ac:dyDescent="0.2">
      <c r="D130" s="5" t="s">
        <v>17538</v>
      </c>
      <c r="E130" s="5" t="s">
        <v>7757</v>
      </c>
      <c r="F130" s="5" t="s">
        <v>3618</v>
      </c>
      <c r="G130" s="6" t="s">
        <v>1709</v>
      </c>
      <c r="H130" s="6" t="s">
        <v>8807</v>
      </c>
      <c r="I130" s="6" t="s">
        <v>3718</v>
      </c>
      <c r="J130" s="6" t="s">
        <v>18243</v>
      </c>
    </row>
    <row r="131" spans="4:10" ht="22.5" x14ac:dyDescent="0.2">
      <c r="D131" s="5" t="s">
        <v>17538</v>
      </c>
      <c r="E131" s="5" t="s">
        <v>7757</v>
      </c>
      <c r="F131" s="5" t="s">
        <v>2679</v>
      </c>
      <c r="G131" s="6" t="s">
        <v>1709</v>
      </c>
      <c r="H131" s="6" t="s">
        <v>8807</v>
      </c>
      <c r="I131" s="6" t="s">
        <v>3718</v>
      </c>
      <c r="J131" s="6" t="s">
        <v>3718</v>
      </c>
    </row>
    <row r="132" spans="4:10" x14ac:dyDescent="0.2">
      <c r="D132" s="5" t="s">
        <v>17538</v>
      </c>
      <c r="E132" s="5" t="s">
        <v>628</v>
      </c>
      <c r="F132" s="5" t="s">
        <v>12142</v>
      </c>
      <c r="G132" s="6" t="s">
        <v>1709</v>
      </c>
      <c r="H132" s="6" t="s">
        <v>8807</v>
      </c>
      <c r="I132" s="6" t="s">
        <v>14111</v>
      </c>
      <c r="J132" s="6" t="s">
        <v>14610</v>
      </c>
    </row>
    <row r="133" spans="4:10" x14ac:dyDescent="0.2">
      <c r="D133" s="5" t="s">
        <v>17538</v>
      </c>
      <c r="E133" s="5" t="s">
        <v>628</v>
      </c>
      <c r="F133" s="5" t="s">
        <v>3958</v>
      </c>
      <c r="G133" s="6" t="s">
        <v>1709</v>
      </c>
      <c r="H133" s="6" t="s">
        <v>8807</v>
      </c>
      <c r="I133" s="6" t="s">
        <v>14111</v>
      </c>
      <c r="J133" s="6" t="s">
        <v>14111</v>
      </c>
    </row>
    <row r="134" spans="4:10" ht="22.5" x14ac:dyDescent="0.2">
      <c r="D134" s="5" t="s">
        <v>17538</v>
      </c>
      <c r="E134" s="5" t="s">
        <v>10724</v>
      </c>
      <c r="F134" s="5" t="s">
        <v>18073</v>
      </c>
      <c r="G134" s="6" t="s">
        <v>1709</v>
      </c>
      <c r="H134" s="6" t="s">
        <v>8807</v>
      </c>
      <c r="I134" s="6" t="s">
        <v>2914</v>
      </c>
      <c r="J134" s="6" t="s">
        <v>2914</v>
      </c>
    </row>
    <row r="135" spans="4:10" x14ac:dyDescent="0.2">
      <c r="D135" s="5" t="s">
        <v>17538</v>
      </c>
      <c r="E135" s="5" t="s">
        <v>10724</v>
      </c>
      <c r="F135" s="5" t="s">
        <v>17679</v>
      </c>
      <c r="G135" s="6" t="s">
        <v>1709</v>
      </c>
      <c r="H135" s="6" t="s">
        <v>8807</v>
      </c>
      <c r="I135" s="6" t="s">
        <v>9057</v>
      </c>
      <c r="J135" s="6" t="s">
        <v>7713</v>
      </c>
    </row>
    <row r="136" spans="4:10" x14ac:dyDescent="0.2">
      <c r="D136" s="5" t="s">
        <v>16542</v>
      </c>
      <c r="E136" s="5" t="s">
        <v>9644</v>
      </c>
      <c r="F136" s="5" t="s">
        <v>9644</v>
      </c>
      <c r="G136" s="6" t="s">
        <v>1709</v>
      </c>
      <c r="H136" s="6" t="s">
        <v>8807</v>
      </c>
      <c r="I136" s="6" t="s">
        <v>9057</v>
      </c>
      <c r="J136" s="6" t="s">
        <v>11931</v>
      </c>
    </row>
    <row r="137" spans="4:10" x14ac:dyDescent="0.2">
      <c r="D137" s="5" t="s">
        <v>16542</v>
      </c>
      <c r="E137" s="5" t="s">
        <v>9644</v>
      </c>
      <c r="F137" s="5" t="s">
        <v>16997</v>
      </c>
      <c r="G137" s="6" t="s">
        <v>1709</v>
      </c>
      <c r="H137" s="6" t="s">
        <v>8807</v>
      </c>
      <c r="I137" s="6" t="s">
        <v>9057</v>
      </c>
      <c r="J137" s="6" t="s">
        <v>9057</v>
      </c>
    </row>
    <row r="138" spans="4:10" ht="22.5" x14ac:dyDescent="0.2">
      <c r="D138" s="5" t="s">
        <v>16542</v>
      </c>
      <c r="E138" s="5" t="s">
        <v>9644</v>
      </c>
      <c r="F138" s="5" t="s">
        <v>13247</v>
      </c>
      <c r="G138" s="6" t="s">
        <v>8093</v>
      </c>
      <c r="H138" s="6" t="s">
        <v>18173</v>
      </c>
      <c r="I138" s="6" t="s">
        <v>18784</v>
      </c>
      <c r="J138" s="6" t="s">
        <v>18784</v>
      </c>
    </row>
    <row r="139" spans="4:10" ht="22.5" x14ac:dyDescent="0.2">
      <c r="D139" s="5" t="s">
        <v>16542</v>
      </c>
      <c r="E139" s="5" t="s">
        <v>9644</v>
      </c>
      <c r="F139" s="5" t="s">
        <v>8846</v>
      </c>
      <c r="G139" s="6" t="s">
        <v>8093</v>
      </c>
      <c r="H139" s="6" t="s">
        <v>18173</v>
      </c>
      <c r="I139" s="6" t="s">
        <v>18784</v>
      </c>
      <c r="J139" s="6" t="s">
        <v>479</v>
      </c>
    </row>
    <row r="140" spans="4:10" ht="22.5" x14ac:dyDescent="0.2">
      <c r="D140" s="5" t="s">
        <v>16542</v>
      </c>
      <c r="E140" s="5" t="s">
        <v>9644</v>
      </c>
      <c r="F140" s="5" t="s">
        <v>11293</v>
      </c>
      <c r="G140" s="6" t="s">
        <v>8093</v>
      </c>
      <c r="H140" s="6" t="s">
        <v>18173</v>
      </c>
      <c r="I140" s="6" t="s">
        <v>18784</v>
      </c>
      <c r="J140" s="6" t="s">
        <v>12662</v>
      </c>
    </row>
    <row r="141" spans="4:10" ht="22.5" x14ac:dyDescent="0.2">
      <c r="D141" s="5" t="s">
        <v>16542</v>
      </c>
      <c r="E141" s="5" t="s">
        <v>9644</v>
      </c>
      <c r="F141" s="5" t="s">
        <v>17993</v>
      </c>
      <c r="G141" s="6" t="s">
        <v>8093</v>
      </c>
      <c r="H141" s="6" t="s">
        <v>18173</v>
      </c>
      <c r="I141" s="6" t="s">
        <v>5973</v>
      </c>
      <c r="J141" s="6" t="s">
        <v>17483</v>
      </c>
    </row>
    <row r="142" spans="4:10" ht="22.5" x14ac:dyDescent="0.2">
      <c r="D142" s="5" t="s">
        <v>16542</v>
      </c>
      <c r="E142" s="5" t="s">
        <v>16564</v>
      </c>
      <c r="F142" s="5" t="s">
        <v>3652</v>
      </c>
      <c r="G142" s="6" t="s">
        <v>8093</v>
      </c>
      <c r="H142" s="6" t="s">
        <v>18173</v>
      </c>
      <c r="I142" s="6" t="s">
        <v>5973</v>
      </c>
      <c r="J142" s="6" t="s">
        <v>5973</v>
      </c>
    </row>
    <row r="143" spans="4:10" ht="22.5" x14ac:dyDescent="0.2">
      <c r="D143" s="5" t="s">
        <v>16542</v>
      </c>
      <c r="E143" s="5" t="s">
        <v>16564</v>
      </c>
      <c r="F143" s="5" t="s">
        <v>18035</v>
      </c>
      <c r="G143" s="6" t="s">
        <v>8093</v>
      </c>
      <c r="H143" s="6" t="s">
        <v>18173</v>
      </c>
      <c r="I143" s="6" t="s">
        <v>5973</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14383</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17688</v>
      </c>
      <c r="G149" s="6" t="s">
        <v>8093</v>
      </c>
      <c r="H149" s="6" t="s">
        <v>2599</v>
      </c>
      <c r="I149" s="6" t="s">
        <v>12130</v>
      </c>
      <c r="J149" s="6" t="s">
        <v>12409</v>
      </c>
    </row>
    <row r="150" spans="4:10" x14ac:dyDescent="0.2">
      <c r="D150" s="5" t="s">
        <v>3080</v>
      </c>
      <c r="E150" s="5" t="s">
        <v>11112</v>
      </c>
      <c r="F150" s="5" t="s">
        <v>11112</v>
      </c>
      <c r="G150" s="6" t="s">
        <v>8093</v>
      </c>
      <c r="H150" s="6" t="s">
        <v>2599</v>
      </c>
      <c r="I150" s="6" t="s">
        <v>12130</v>
      </c>
      <c r="J150" s="6" t="s">
        <v>12130</v>
      </c>
    </row>
    <row r="151" spans="4:10" x14ac:dyDescent="0.2">
      <c r="D151" s="5" t="s">
        <v>3080</v>
      </c>
      <c r="E151" s="5" t="s">
        <v>14449</v>
      </c>
      <c r="F151" s="5" t="s">
        <v>4622</v>
      </c>
      <c r="G151" s="6" t="s">
        <v>8093</v>
      </c>
      <c r="H151" s="6" t="s">
        <v>2599</v>
      </c>
      <c r="I151" s="6" t="s">
        <v>12130</v>
      </c>
      <c r="J151" s="6" t="s">
        <v>8985</v>
      </c>
    </row>
    <row r="152" spans="4:10" x14ac:dyDescent="0.2">
      <c r="D152" s="5" t="s">
        <v>3080</v>
      </c>
      <c r="E152" s="5" t="s">
        <v>14449</v>
      </c>
      <c r="F152" s="5" t="s">
        <v>4637</v>
      </c>
      <c r="G152" s="6" t="s">
        <v>8093</v>
      </c>
      <c r="H152" s="6" t="s">
        <v>2599</v>
      </c>
      <c r="I152" s="6" t="s">
        <v>12130</v>
      </c>
      <c r="J152" s="6" t="s">
        <v>9851</v>
      </c>
    </row>
    <row r="153" spans="4:10" x14ac:dyDescent="0.2">
      <c r="D153" s="5" t="s">
        <v>3080</v>
      </c>
      <c r="E153" s="5" t="s">
        <v>14449</v>
      </c>
      <c r="F153" s="5" t="s">
        <v>5998</v>
      </c>
      <c r="G153" s="6" t="s">
        <v>8093</v>
      </c>
      <c r="H153" s="6" t="s">
        <v>2599</v>
      </c>
      <c r="I153" s="6" t="s">
        <v>12130</v>
      </c>
      <c r="J153" s="6" t="s">
        <v>6564</v>
      </c>
    </row>
    <row r="154" spans="4:10" x14ac:dyDescent="0.2">
      <c r="D154" s="5" t="s">
        <v>3080</v>
      </c>
      <c r="E154" s="5" t="s">
        <v>14449</v>
      </c>
      <c r="F154" s="5" t="s">
        <v>5994</v>
      </c>
      <c r="G154" s="6" t="s">
        <v>8093</v>
      </c>
      <c r="H154" s="6" t="s">
        <v>2599</v>
      </c>
      <c r="I154" s="6" t="s">
        <v>12130</v>
      </c>
      <c r="J154" s="6" t="s">
        <v>12387</v>
      </c>
    </row>
    <row r="155" spans="4:10" x14ac:dyDescent="0.2">
      <c r="D155" s="5" t="s">
        <v>3080</v>
      </c>
      <c r="E155" s="5" t="s">
        <v>14449</v>
      </c>
      <c r="F155" s="5" t="s">
        <v>4764</v>
      </c>
      <c r="G155" s="6" t="s">
        <v>8093</v>
      </c>
      <c r="H155" s="6" t="s">
        <v>2599</v>
      </c>
      <c r="I155" s="6" t="s">
        <v>5828</v>
      </c>
      <c r="J155" s="6" t="s">
        <v>5828</v>
      </c>
    </row>
    <row r="156" spans="4:10" x14ac:dyDescent="0.2">
      <c r="D156" s="5" t="s">
        <v>3080</v>
      </c>
      <c r="E156" s="5" t="s">
        <v>14449</v>
      </c>
      <c r="F156" s="5" t="s">
        <v>14365</v>
      </c>
      <c r="G156" s="6" t="s">
        <v>8093</v>
      </c>
      <c r="H156" s="6" t="s">
        <v>2599</v>
      </c>
      <c r="I156" s="6" t="s">
        <v>10375</v>
      </c>
      <c r="J156" s="6" t="s">
        <v>5356</v>
      </c>
    </row>
    <row r="157" spans="4:10" x14ac:dyDescent="0.2">
      <c r="D157" s="5" t="s">
        <v>3080</v>
      </c>
      <c r="E157" s="5" t="s">
        <v>14449</v>
      </c>
      <c r="F157" s="5" t="s">
        <v>11467</v>
      </c>
      <c r="G157" s="6" t="s">
        <v>8093</v>
      </c>
      <c r="H157" s="6" t="s">
        <v>2599</v>
      </c>
      <c r="I157" s="6" t="s">
        <v>10375</v>
      </c>
      <c r="J157" s="6" t="s">
        <v>10375</v>
      </c>
    </row>
    <row r="158" spans="4:10" x14ac:dyDescent="0.2">
      <c r="G158" s="6" t="s">
        <v>8093</v>
      </c>
      <c r="H158" s="6" t="s">
        <v>2599</v>
      </c>
      <c r="I158" s="6" t="s">
        <v>10375</v>
      </c>
      <c r="J158" s="6" t="s">
        <v>14615</v>
      </c>
    </row>
    <row r="159" spans="4:10" ht="22.5" x14ac:dyDescent="0.2">
      <c r="G159" s="6" t="s">
        <v>8093</v>
      </c>
      <c r="H159" s="6" t="s">
        <v>5888</v>
      </c>
      <c r="I159" s="6" t="s">
        <v>39</v>
      </c>
      <c r="J159" s="6" t="s">
        <v>39</v>
      </c>
    </row>
    <row r="160" spans="4:10" ht="22.5" x14ac:dyDescent="0.2">
      <c r="G160" s="6" t="s">
        <v>8093</v>
      </c>
      <c r="H160" s="6" t="s">
        <v>5888</v>
      </c>
      <c r="I160" s="6" t="s">
        <v>39</v>
      </c>
      <c r="J160" s="6" t="s">
        <v>17305</v>
      </c>
    </row>
    <row r="161" spans="7:10" ht="22.5" x14ac:dyDescent="0.2">
      <c r="G161" s="6" t="s">
        <v>8093</v>
      </c>
      <c r="H161" s="6" t="s">
        <v>5888</v>
      </c>
      <c r="I161" s="6" t="s">
        <v>1828</v>
      </c>
      <c r="J161" s="6" t="s">
        <v>2211</v>
      </c>
    </row>
    <row r="162" spans="7:10" ht="22.5" x14ac:dyDescent="0.2">
      <c r="G162" s="6" t="s">
        <v>8093</v>
      </c>
      <c r="H162" s="6" t="s">
        <v>5888</v>
      </c>
      <c r="I162" s="6" t="s">
        <v>1828</v>
      </c>
      <c r="J162" s="6" t="s">
        <v>1151</v>
      </c>
    </row>
    <row r="163" spans="7:10" ht="22.5" x14ac:dyDescent="0.2">
      <c r="G163" s="6" t="s">
        <v>8093</v>
      </c>
      <c r="H163" s="6" t="s">
        <v>5888</v>
      </c>
      <c r="I163" s="6" t="s">
        <v>1828</v>
      </c>
      <c r="J163" s="6" t="s">
        <v>1828</v>
      </c>
    </row>
    <row r="164" spans="7:10" ht="22.5" x14ac:dyDescent="0.2">
      <c r="G164" s="6" t="s">
        <v>8093</v>
      </c>
      <c r="H164" s="6" t="s">
        <v>5888</v>
      </c>
      <c r="I164" s="6" t="s">
        <v>1828</v>
      </c>
      <c r="J164" s="6" t="s">
        <v>4092</v>
      </c>
    </row>
    <row r="165" spans="7:10" ht="22.5" x14ac:dyDescent="0.2">
      <c r="G165" s="6" t="s">
        <v>8093</v>
      </c>
      <c r="H165" s="6" t="s">
        <v>5888</v>
      </c>
      <c r="I165" s="6" t="s">
        <v>1828</v>
      </c>
      <c r="J165" s="6" t="s">
        <v>14735</v>
      </c>
    </row>
    <row r="166" spans="7:10" ht="22.5" x14ac:dyDescent="0.2">
      <c r="G166" s="6" t="s">
        <v>8093</v>
      </c>
      <c r="H166" s="6" t="s">
        <v>5888</v>
      </c>
      <c r="I166" s="6" t="s">
        <v>9709</v>
      </c>
      <c r="J166" s="6" t="s">
        <v>9709</v>
      </c>
    </row>
    <row r="167" spans="7:10" ht="22.5" x14ac:dyDescent="0.2">
      <c r="G167" s="6" t="s">
        <v>8093</v>
      </c>
      <c r="H167" s="6" t="s">
        <v>5888</v>
      </c>
      <c r="I167" s="6" t="s">
        <v>13952</v>
      </c>
      <c r="J167" s="6" t="s">
        <v>9455</v>
      </c>
    </row>
    <row r="168" spans="7:10" ht="22.5" x14ac:dyDescent="0.2">
      <c r="G168" s="6" t="s">
        <v>8093</v>
      </c>
      <c r="H168" s="6" t="s">
        <v>5888</v>
      </c>
      <c r="I168" s="6" t="s">
        <v>13952</v>
      </c>
      <c r="J168" s="6" t="s">
        <v>14551</v>
      </c>
    </row>
    <row r="169" spans="7:10" ht="22.5" x14ac:dyDescent="0.2">
      <c r="G169" s="6" t="s">
        <v>8093</v>
      </c>
      <c r="H169" s="6" t="s">
        <v>5888</v>
      </c>
      <c r="I169" s="6" t="s">
        <v>13952</v>
      </c>
      <c r="J169" s="6" t="s">
        <v>7344</v>
      </c>
    </row>
    <row r="170" spans="7:10" ht="22.5" x14ac:dyDescent="0.2">
      <c r="G170" s="6" t="s">
        <v>8093</v>
      </c>
      <c r="H170" s="6" t="s">
        <v>5888</v>
      </c>
      <c r="I170" s="6" t="s">
        <v>13952</v>
      </c>
      <c r="J170" s="6" t="s">
        <v>13952</v>
      </c>
    </row>
    <row r="171" spans="7:10" x14ac:dyDescent="0.2">
      <c r="G171" s="6" t="s">
        <v>12507</v>
      </c>
      <c r="H171" s="6" t="s">
        <v>2459</v>
      </c>
      <c r="I171" s="6" t="s">
        <v>14611</v>
      </c>
      <c r="J171" s="6" t="s">
        <v>14611</v>
      </c>
    </row>
    <row r="172" spans="7:10" x14ac:dyDescent="0.2">
      <c r="G172" s="6" t="s">
        <v>12507</v>
      </c>
      <c r="H172" s="6" t="s">
        <v>2459</v>
      </c>
      <c r="I172" s="6" t="s">
        <v>14611</v>
      </c>
      <c r="J172" s="6" t="s">
        <v>6068</v>
      </c>
    </row>
    <row r="173" spans="7:10" x14ac:dyDescent="0.2">
      <c r="G173" s="6" t="s">
        <v>12507</v>
      </c>
      <c r="H173" s="6" t="s">
        <v>2459</v>
      </c>
      <c r="I173" s="6" t="s">
        <v>14611</v>
      </c>
      <c r="J173" s="6" t="s">
        <v>5278</v>
      </c>
    </row>
    <row r="174" spans="7:10" x14ac:dyDescent="0.2">
      <c r="G174" s="6" t="s">
        <v>12507</v>
      </c>
      <c r="H174" s="6" t="s">
        <v>2459</v>
      </c>
      <c r="I174" s="6" t="s">
        <v>8751</v>
      </c>
      <c r="J174" s="6" t="s">
        <v>8751</v>
      </c>
    </row>
    <row r="175" spans="7:10" x14ac:dyDescent="0.2">
      <c r="G175" s="6" t="s">
        <v>12507</v>
      </c>
      <c r="H175" s="6" t="s">
        <v>2459</v>
      </c>
      <c r="I175" s="6" t="s">
        <v>8751</v>
      </c>
      <c r="J175" s="6" t="s">
        <v>9293</v>
      </c>
    </row>
    <row r="176" spans="7:10" x14ac:dyDescent="0.2">
      <c r="G176" s="6" t="s">
        <v>12507</v>
      </c>
      <c r="H176" s="6" t="s">
        <v>2459</v>
      </c>
      <c r="I176" s="6" t="s">
        <v>8751</v>
      </c>
      <c r="J176" s="6" t="s">
        <v>9564</v>
      </c>
    </row>
    <row r="177" spans="7:10" x14ac:dyDescent="0.2">
      <c r="G177" s="6" t="s">
        <v>12507</v>
      </c>
      <c r="H177" s="6" t="s">
        <v>2459</v>
      </c>
      <c r="I177" s="6" t="s">
        <v>3654</v>
      </c>
      <c r="J177" s="6" t="s">
        <v>3654</v>
      </c>
    </row>
    <row r="178" spans="7:10" x14ac:dyDescent="0.2">
      <c r="G178" s="6" t="s">
        <v>12507</v>
      </c>
      <c r="H178" s="6" t="s">
        <v>2459</v>
      </c>
      <c r="I178" s="6" t="s">
        <v>3654</v>
      </c>
      <c r="J178" s="6" t="s">
        <v>4402</v>
      </c>
    </row>
    <row r="179" spans="7:10" x14ac:dyDescent="0.2">
      <c r="G179" s="6" t="s">
        <v>12507</v>
      </c>
      <c r="H179" s="6" t="s">
        <v>2459</v>
      </c>
      <c r="I179" s="6" t="s">
        <v>5786</v>
      </c>
      <c r="J179" s="6" t="s">
        <v>5786</v>
      </c>
    </row>
    <row r="180" spans="7:10" x14ac:dyDescent="0.2">
      <c r="G180" s="6" t="s">
        <v>12507</v>
      </c>
      <c r="H180" s="6" t="s">
        <v>2459</v>
      </c>
      <c r="I180" s="6" t="s">
        <v>5786</v>
      </c>
      <c r="J180" s="6" t="s">
        <v>11254</v>
      </c>
    </row>
    <row r="181" spans="7:10" x14ac:dyDescent="0.2">
      <c r="G181" s="6" t="s">
        <v>12507</v>
      </c>
      <c r="H181" s="6" t="s">
        <v>2459</v>
      </c>
      <c r="I181" s="6" t="s">
        <v>15718</v>
      </c>
      <c r="J181" s="6" t="s">
        <v>15718</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14587</v>
      </c>
      <c r="J184" s="6" t="s">
        <v>16148</v>
      </c>
    </row>
    <row r="185" spans="7:10" x14ac:dyDescent="0.2">
      <c r="G185" s="6" t="s">
        <v>12507</v>
      </c>
      <c r="H185" s="6" t="s">
        <v>3429</v>
      </c>
      <c r="I185" s="6" t="s">
        <v>14587</v>
      </c>
      <c r="J185" s="6" t="s">
        <v>14587</v>
      </c>
    </row>
    <row r="186" spans="7:10" x14ac:dyDescent="0.2">
      <c r="G186" s="6" t="s">
        <v>12507</v>
      </c>
      <c r="H186" s="6" t="s">
        <v>3429</v>
      </c>
      <c r="I186" s="6" t="s">
        <v>14587</v>
      </c>
      <c r="J186" s="6" t="s">
        <v>10646</v>
      </c>
    </row>
    <row r="187" spans="7:10" x14ac:dyDescent="0.2">
      <c r="G187" s="6" t="s">
        <v>12507</v>
      </c>
      <c r="H187" s="6" t="s">
        <v>3429</v>
      </c>
      <c r="I187" s="6" t="s">
        <v>14150</v>
      </c>
      <c r="J187" s="6" t="s">
        <v>9577</v>
      </c>
    </row>
    <row r="188" spans="7:10" x14ac:dyDescent="0.2">
      <c r="G188" s="6" t="s">
        <v>12507</v>
      </c>
      <c r="H188" s="6" t="s">
        <v>3429</v>
      </c>
      <c r="I188" s="6" t="s">
        <v>14150</v>
      </c>
      <c r="J188" s="6" t="s">
        <v>14150</v>
      </c>
    </row>
    <row r="189" spans="7:10" x14ac:dyDescent="0.2">
      <c r="G189" s="6" t="s">
        <v>12507</v>
      </c>
      <c r="H189" s="6" t="s">
        <v>3429</v>
      </c>
      <c r="I189" s="6" t="s">
        <v>14150</v>
      </c>
      <c r="J189" s="6" t="s">
        <v>9033</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7646</v>
      </c>
    </row>
    <row r="195" spans="7:10" ht="22.5" x14ac:dyDescent="0.2">
      <c r="G195" s="6" t="s">
        <v>12507</v>
      </c>
      <c r="H195" s="6" t="s">
        <v>3429</v>
      </c>
      <c r="I195" s="6" t="s">
        <v>15181</v>
      </c>
      <c r="J195" s="6" t="s">
        <v>3697</v>
      </c>
    </row>
    <row r="196" spans="7:10" ht="22.5" x14ac:dyDescent="0.2">
      <c r="G196" s="6" t="s">
        <v>12507</v>
      </c>
      <c r="H196" s="6" t="s">
        <v>3429</v>
      </c>
      <c r="I196" s="6" t="s">
        <v>15181</v>
      </c>
      <c r="J196" s="6" t="s">
        <v>4402</v>
      </c>
    </row>
    <row r="197" spans="7:10" ht="22.5" x14ac:dyDescent="0.2">
      <c r="G197" s="6" t="s">
        <v>12507</v>
      </c>
      <c r="H197" s="6" t="s">
        <v>3429</v>
      </c>
      <c r="I197" s="6" t="s">
        <v>15181</v>
      </c>
      <c r="J197" s="6" t="s">
        <v>13886</v>
      </c>
    </row>
    <row r="198" spans="7:10" ht="22.5" x14ac:dyDescent="0.2">
      <c r="G198" s="6" t="s">
        <v>12507</v>
      </c>
      <c r="H198" s="6" t="s">
        <v>3429</v>
      </c>
      <c r="I198" s="6" t="s">
        <v>15181</v>
      </c>
      <c r="J198" s="6" t="s">
        <v>4716</v>
      </c>
    </row>
    <row r="199" spans="7:10" ht="22.5" x14ac:dyDescent="0.2">
      <c r="G199" s="6" t="s">
        <v>12507</v>
      </c>
      <c r="H199" s="6" t="s">
        <v>3429</v>
      </c>
      <c r="I199" s="6" t="s">
        <v>15181</v>
      </c>
      <c r="J199" s="6" t="s">
        <v>9207</v>
      </c>
    </row>
    <row r="200" spans="7:10" ht="22.5" x14ac:dyDescent="0.2">
      <c r="G200" s="6" t="s">
        <v>12507</v>
      </c>
      <c r="H200" s="6" t="s">
        <v>3429</v>
      </c>
      <c r="I200" s="6" t="s">
        <v>15181</v>
      </c>
      <c r="J200" s="6" t="s">
        <v>2863</v>
      </c>
    </row>
    <row r="201" spans="7:10" ht="22.5" x14ac:dyDescent="0.2">
      <c r="G201" s="6" t="s">
        <v>12507</v>
      </c>
      <c r="H201" s="6" t="s">
        <v>3429</v>
      </c>
      <c r="I201" s="6" t="s">
        <v>15181</v>
      </c>
      <c r="J201" s="6" t="s">
        <v>12284</v>
      </c>
    </row>
    <row r="202" spans="7:10" ht="22.5" x14ac:dyDescent="0.2">
      <c r="G202" s="6" t="s">
        <v>12507</v>
      </c>
      <c r="H202" s="6" t="s">
        <v>3429</v>
      </c>
      <c r="I202" s="6" t="s">
        <v>15181</v>
      </c>
      <c r="J202" s="6" t="s">
        <v>18633</v>
      </c>
    </row>
    <row r="203" spans="7:10" ht="22.5" x14ac:dyDescent="0.2">
      <c r="G203" s="6" t="s">
        <v>12507</v>
      </c>
      <c r="H203" s="6" t="s">
        <v>3429</v>
      </c>
      <c r="I203" s="6" t="s">
        <v>15181</v>
      </c>
      <c r="J203" s="6" t="s">
        <v>10596</v>
      </c>
    </row>
    <row r="204" spans="7:10" ht="22.5" x14ac:dyDescent="0.2">
      <c r="G204" s="6" t="s">
        <v>12507</v>
      </c>
      <c r="H204" s="6" t="s">
        <v>3429</v>
      </c>
      <c r="I204" s="6" t="s">
        <v>15181</v>
      </c>
      <c r="J204" s="6" t="s">
        <v>15557</v>
      </c>
    </row>
    <row r="205" spans="7:10" ht="22.5" x14ac:dyDescent="0.2">
      <c r="G205" s="6" t="s">
        <v>12507</v>
      </c>
      <c r="H205" s="6" t="s">
        <v>3429</v>
      </c>
      <c r="I205" s="6" t="s">
        <v>15181</v>
      </c>
      <c r="J205" s="6" t="s">
        <v>15181</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5957</v>
      </c>
      <c r="H208" s="6" t="s">
        <v>5614</v>
      </c>
      <c r="I208" s="6" t="s">
        <v>14256</v>
      </c>
      <c r="J208" s="6" t="s">
        <v>9262</v>
      </c>
    </row>
    <row r="209" spans="7:10" x14ac:dyDescent="0.2">
      <c r="G209" s="6" t="s">
        <v>5957</v>
      </c>
      <c r="H209" s="6" t="s">
        <v>5614</v>
      </c>
      <c r="I209" s="6" t="s">
        <v>14256</v>
      </c>
      <c r="J209" s="6" t="s">
        <v>14256</v>
      </c>
    </row>
    <row r="210" spans="7:10" x14ac:dyDescent="0.2">
      <c r="G210" s="6" t="s">
        <v>5957</v>
      </c>
      <c r="H210" s="6" t="s">
        <v>5614</v>
      </c>
      <c r="I210" s="6" t="s">
        <v>7319</v>
      </c>
      <c r="J210" s="6" t="s">
        <v>15873</v>
      </c>
    </row>
    <row r="211" spans="7:10" x14ac:dyDescent="0.2">
      <c r="G211" s="6" t="s">
        <v>5957</v>
      </c>
      <c r="H211" s="6" t="s">
        <v>5614</v>
      </c>
      <c r="I211" s="6" t="s">
        <v>7319</v>
      </c>
      <c r="J211" s="6" t="s">
        <v>7319</v>
      </c>
    </row>
    <row r="212" spans="7:10" x14ac:dyDescent="0.2">
      <c r="G212" s="6" t="s">
        <v>5957</v>
      </c>
      <c r="H212" s="6" t="s">
        <v>5614</v>
      </c>
      <c r="I212" s="6" t="s">
        <v>12132</v>
      </c>
      <c r="J212" s="6" t="s">
        <v>17108</v>
      </c>
    </row>
    <row r="213" spans="7:10" x14ac:dyDescent="0.2">
      <c r="G213" s="6" t="s">
        <v>5957</v>
      </c>
      <c r="H213" s="6" t="s">
        <v>5614</v>
      </c>
      <c r="I213" s="6" t="s">
        <v>12132</v>
      </c>
      <c r="J213" s="6" t="s">
        <v>12132</v>
      </c>
    </row>
    <row r="214" spans="7:10" x14ac:dyDescent="0.2">
      <c r="G214" s="6" t="s">
        <v>5957</v>
      </c>
      <c r="H214" s="6" t="s">
        <v>5614</v>
      </c>
      <c r="I214" s="6" t="s">
        <v>5656</v>
      </c>
      <c r="J214" s="6" t="s">
        <v>7556</v>
      </c>
    </row>
    <row r="215" spans="7:10" x14ac:dyDescent="0.2">
      <c r="G215" s="6" t="s">
        <v>5957</v>
      </c>
      <c r="H215" s="6" t="s">
        <v>5614</v>
      </c>
      <c r="I215" s="6" t="s">
        <v>5656</v>
      </c>
      <c r="J215" s="6" t="s">
        <v>17739</v>
      </c>
    </row>
    <row r="216" spans="7:10" x14ac:dyDescent="0.2">
      <c r="G216" s="6" t="s">
        <v>5957</v>
      </c>
      <c r="H216" s="6" t="s">
        <v>5614</v>
      </c>
      <c r="I216" s="6" t="s">
        <v>5656</v>
      </c>
      <c r="J216" s="6" t="s">
        <v>14282</v>
      </c>
    </row>
    <row r="217" spans="7:10" x14ac:dyDescent="0.2">
      <c r="G217" s="6" t="s">
        <v>5957</v>
      </c>
      <c r="H217" s="6" t="s">
        <v>5614</v>
      </c>
      <c r="I217" s="6" t="s">
        <v>5656</v>
      </c>
      <c r="J217" s="6" t="s">
        <v>10312</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9129</v>
      </c>
    </row>
    <row r="221" spans="7:10" x14ac:dyDescent="0.2">
      <c r="G221" s="6" t="s">
        <v>5957</v>
      </c>
      <c r="H221" s="6" t="s">
        <v>5614</v>
      </c>
      <c r="I221" s="6" t="s">
        <v>13097</v>
      </c>
      <c r="J221" s="6" t="s">
        <v>13097</v>
      </c>
    </row>
    <row r="222" spans="7:10" x14ac:dyDescent="0.2">
      <c r="G222" s="6" t="s">
        <v>5957</v>
      </c>
      <c r="H222" s="6" t="s">
        <v>2698</v>
      </c>
      <c r="I222" s="6" t="s">
        <v>7099</v>
      </c>
      <c r="J222" s="6" t="s">
        <v>7099</v>
      </c>
    </row>
    <row r="223" spans="7:10" x14ac:dyDescent="0.2">
      <c r="G223" s="6" t="s">
        <v>5957</v>
      </c>
      <c r="H223" s="6" t="s">
        <v>2698</v>
      </c>
      <c r="I223" s="6" t="s">
        <v>10380</v>
      </c>
      <c r="J223" s="6" t="s">
        <v>10380</v>
      </c>
    </row>
    <row r="224" spans="7:10" x14ac:dyDescent="0.2">
      <c r="G224" s="6" t="s">
        <v>5957</v>
      </c>
      <c r="H224" s="6" t="s">
        <v>2698</v>
      </c>
      <c r="I224" s="6" t="s">
        <v>15448</v>
      </c>
      <c r="J224" s="6" t="s">
        <v>11213</v>
      </c>
    </row>
    <row r="225" spans="7:10" x14ac:dyDescent="0.2">
      <c r="G225" s="6" t="s">
        <v>5957</v>
      </c>
      <c r="H225" s="6" t="s">
        <v>2698</v>
      </c>
      <c r="I225" s="6" t="s">
        <v>15448</v>
      </c>
      <c r="J225" s="6" t="s">
        <v>15448</v>
      </c>
    </row>
    <row r="226" spans="7:10" x14ac:dyDescent="0.2">
      <c r="G226" s="6" t="s">
        <v>5957</v>
      </c>
      <c r="H226" s="6" t="s">
        <v>2698</v>
      </c>
      <c r="I226" s="6" t="s">
        <v>10074</v>
      </c>
      <c r="J226" s="6" t="s">
        <v>10074</v>
      </c>
    </row>
    <row r="227" spans="7:10" x14ac:dyDescent="0.2">
      <c r="G227" s="6" t="s">
        <v>5957</v>
      </c>
      <c r="H227" s="6" t="s">
        <v>2698</v>
      </c>
      <c r="I227" s="6" t="s">
        <v>10074</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8435</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7184</v>
      </c>
    </row>
    <row r="238" spans="7:10" ht="22.5" x14ac:dyDescent="0.2">
      <c r="G238" s="6" t="s">
        <v>5957</v>
      </c>
      <c r="H238" s="6" t="s">
        <v>2698</v>
      </c>
      <c r="I238" s="6" t="s">
        <v>11267</v>
      </c>
      <c r="J238" s="6" t="s">
        <v>11267</v>
      </c>
    </row>
    <row r="239" spans="7:10" ht="22.5" x14ac:dyDescent="0.2">
      <c r="G239" s="6" t="s">
        <v>5957</v>
      </c>
      <c r="H239" s="6" t="s">
        <v>2698</v>
      </c>
      <c r="I239" s="6" t="s">
        <v>11267</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18687</v>
      </c>
    </row>
    <row r="243" spans="7:10" x14ac:dyDescent="0.2">
      <c r="G243" s="6" t="s">
        <v>5957</v>
      </c>
      <c r="H243" s="6" t="s">
        <v>2698</v>
      </c>
      <c r="I243" s="6" t="s">
        <v>1400</v>
      </c>
      <c r="J243" s="6" t="s">
        <v>1400</v>
      </c>
    </row>
    <row r="244" spans="7:10" x14ac:dyDescent="0.2">
      <c r="G244" s="6" t="s">
        <v>5957</v>
      </c>
      <c r="H244" s="6" t="s">
        <v>12705</v>
      </c>
      <c r="I244" s="6" t="s">
        <v>8766</v>
      </c>
      <c r="J244" s="6" t="s">
        <v>14191</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17506</v>
      </c>
    </row>
    <row r="249" spans="7:10" x14ac:dyDescent="0.2">
      <c r="G249" s="6" t="s">
        <v>5957</v>
      </c>
      <c r="H249" s="6" t="s">
        <v>12705</v>
      </c>
      <c r="I249" s="6" t="s">
        <v>5605</v>
      </c>
      <c r="J249" s="6" t="s">
        <v>15670</v>
      </c>
    </row>
    <row r="250" spans="7:10" x14ac:dyDescent="0.2">
      <c r="G250" s="6" t="s">
        <v>5957</v>
      </c>
      <c r="H250" s="6" t="s">
        <v>12705</v>
      </c>
      <c r="I250" s="6" t="s">
        <v>5605</v>
      </c>
      <c r="J250" s="6" t="s">
        <v>7713</v>
      </c>
    </row>
    <row r="251" spans="7:10" x14ac:dyDescent="0.2">
      <c r="G251" s="6" t="s">
        <v>5957</v>
      </c>
      <c r="H251" s="6" t="s">
        <v>12705</v>
      </c>
      <c r="I251" s="6" t="s">
        <v>5605</v>
      </c>
      <c r="J251" s="6" t="s">
        <v>5605</v>
      </c>
    </row>
    <row r="252" spans="7:10" x14ac:dyDescent="0.2">
      <c r="G252" s="6" t="s">
        <v>5957</v>
      </c>
      <c r="H252" s="6" t="s">
        <v>12705</v>
      </c>
      <c r="I252" s="6" t="s">
        <v>10764</v>
      </c>
      <c r="J252" s="6" t="s">
        <v>10764</v>
      </c>
    </row>
    <row r="253" spans="7:10" x14ac:dyDescent="0.2">
      <c r="G253" s="6" t="s">
        <v>5957</v>
      </c>
      <c r="H253" s="6" t="s">
        <v>12705</v>
      </c>
      <c r="I253" s="6" t="s">
        <v>14793</v>
      </c>
      <c r="J253" s="6" t="s">
        <v>14793</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18823</v>
      </c>
      <c r="I256" s="6" t="s">
        <v>10495</v>
      </c>
      <c r="J256" s="6" t="s">
        <v>14374</v>
      </c>
    </row>
    <row r="257" spans="7:10" x14ac:dyDescent="0.2">
      <c r="G257" s="6" t="s">
        <v>5957</v>
      </c>
      <c r="H257" s="6" t="s">
        <v>18823</v>
      </c>
      <c r="I257" s="6" t="s">
        <v>10495</v>
      </c>
      <c r="J257" s="6" t="s">
        <v>10495</v>
      </c>
    </row>
    <row r="258" spans="7:10" x14ac:dyDescent="0.2">
      <c r="G258" s="6" t="s">
        <v>5957</v>
      </c>
      <c r="H258" s="6" t="s">
        <v>18823</v>
      </c>
      <c r="I258" s="6" t="s">
        <v>18823</v>
      </c>
      <c r="J258" s="6" t="s">
        <v>12680</v>
      </c>
    </row>
    <row r="259" spans="7:10" x14ac:dyDescent="0.2">
      <c r="G259" s="6" t="s">
        <v>5957</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18796</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17688</v>
      </c>
      <c r="J272" s="6" t="s">
        <v>17688</v>
      </c>
    </row>
    <row r="273" spans="7:10" ht="22.5" x14ac:dyDescent="0.2">
      <c r="G273" s="6" t="s">
        <v>16542</v>
      </c>
      <c r="H273" s="6" t="s">
        <v>8704</v>
      </c>
      <c r="I273" s="6" t="s">
        <v>15468</v>
      </c>
      <c r="J273" s="6" t="s">
        <v>8562</v>
      </c>
    </row>
    <row r="274" spans="7:10" ht="22.5" x14ac:dyDescent="0.2">
      <c r="G274" s="6" t="s">
        <v>16542</v>
      </c>
      <c r="H274" s="6" t="s">
        <v>8704</v>
      </c>
      <c r="I274" s="6" t="s">
        <v>15468</v>
      </c>
      <c r="J274" s="6" t="s">
        <v>13887</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9644</v>
      </c>
      <c r="I279" s="6" t="s">
        <v>8846</v>
      </c>
      <c r="J279" s="6" t="s">
        <v>8846</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5588</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5994</v>
      </c>
      <c r="J288" s="6" t="s">
        <v>5994</v>
      </c>
    </row>
    <row r="289" spans="7:10" ht="22.5" x14ac:dyDescent="0.2">
      <c r="G289" s="6" t="s">
        <v>3080</v>
      </c>
      <c r="H289" s="6" t="s">
        <v>14449</v>
      </c>
      <c r="I289" s="6" t="s">
        <v>5994</v>
      </c>
      <c r="J289" s="6" t="s">
        <v>17315</v>
      </c>
    </row>
    <row r="290" spans="7:10" ht="22.5" x14ac:dyDescent="0.2">
      <c r="G290" s="6" t="s">
        <v>3080</v>
      </c>
      <c r="H290" s="6" t="s">
        <v>14449</v>
      </c>
      <c r="I290" s="6" t="s">
        <v>4764</v>
      </c>
      <c r="J290" s="6" t="s">
        <v>4764</v>
      </c>
    </row>
    <row r="291" spans="7:10" ht="22.5" x14ac:dyDescent="0.2">
      <c r="G291" s="6" t="s">
        <v>3080</v>
      </c>
      <c r="H291" s="6" t="s">
        <v>14449</v>
      </c>
      <c r="I291" s="6" t="s">
        <v>4764</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9409</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4622</v>
      </c>
      <c r="J298" s="6" t="s">
        <v>6157</v>
      </c>
    </row>
    <row r="299" spans="7:10" ht="22.5" x14ac:dyDescent="0.2">
      <c r="G299" s="6" t="s">
        <v>3080</v>
      </c>
      <c r="H299" s="6" t="s">
        <v>14449</v>
      </c>
      <c r="I299" s="6" t="s">
        <v>4622</v>
      </c>
      <c r="J299" s="6" t="s">
        <v>4622</v>
      </c>
    </row>
    <row r="300" spans="7:10" ht="22.5" x14ac:dyDescent="0.2">
      <c r="G300" s="6" t="s">
        <v>3080</v>
      </c>
      <c r="H300" s="6" t="s">
        <v>14449</v>
      </c>
      <c r="I300" s="6" t="s">
        <v>5998</v>
      </c>
      <c r="J300" s="6" t="s">
        <v>3380</v>
      </c>
    </row>
    <row r="301" spans="7:10" ht="22.5" x14ac:dyDescent="0.2">
      <c r="G301" s="6" t="s">
        <v>3080</v>
      </c>
      <c r="H301" s="6" t="s">
        <v>14449</v>
      </c>
      <c r="I301" s="6" t="s">
        <v>5998</v>
      </c>
      <c r="J301" s="6" t="s">
        <v>5998</v>
      </c>
    </row>
    <row r="302" spans="7:10" ht="22.5" x14ac:dyDescent="0.2">
      <c r="G302" s="6" t="s">
        <v>3080</v>
      </c>
      <c r="H302" s="6" t="s">
        <v>14449</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12224</v>
      </c>
    </row>
    <row r="309" spans="7:10" ht="22.5" x14ac:dyDescent="0.2">
      <c r="G309" s="6" t="s">
        <v>18355</v>
      </c>
      <c r="H309" s="6" t="s">
        <v>6673</v>
      </c>
      <c r="I309" s="6" t="s">
        <v>51</v>
      </c>
      <c r="J309" s="6" t="s">
        <v>12695</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9653</v>
      </c>
      <c r="J314" s="6" t="s">
        <v>9653</v>
      </c>
    </row>
    <row r="315" spans="7:10" x14ac:dyDescent="0.2">
      <c r="G315" s="6" t="s">
        <v>18355</v>
      </c>
      <c r="H315" s="6" t="s">
        <v>6673</v>
      </c>
      <c r="I315" s="6" t="s">
        <v>9653</v>
      </c>
      <c r="J315" s="6" t="s">
        <v>5825</v>
      </c>
    </row>
    <row r="316" spans="7:10" ht="22.5" x14ac:dyDescent="0.2">
      <c r="G316" s="6" t="s">
        <v>18355</v>
      </c>
      <c r="H316" s="6" t="s">
        <v>6673</v>
      </c>
      <c r="I316" s="6" t="s">
        <v>12891</v>
      </c>
      <c r="J316" s="6" t="s">
        <v>6859</v>
      </c>
    </row>
    <row r="317" spans="7:10" ht="22.5" x14ac:dyDescent="0.2">
      <c r="G317" s="6" t="s">
        <v>18355</v>
      </c>
      <c r="H317" s="6" t="s">
        <v>6673</v>
      </c>
      <c r="I317" s="6" t="s">
        <v>12891</v>
      </c>
      <c r="J317" s="6" t="s">
        <v>12891</v>
      </c>
    </row>
    <row r="318" spans="7:10" ht="22.5" x14ac:dyDescent="0.2">
      <c r="G318" s="6" t="s">
        <v>18355</v>
      </c>
      <c r="H318" s="6" t="s">
        <v>6673</v>
      </c>
      <c r="I318" s="6" t="s">
        <v>12891</v>
      </c>
      <c r="J318" s="6" t="s">
        <v>14746</v>
      </c>
    </row>
    <row r="319" spans="7:10" ht="22.5" x14ac:dyDescent="0.2">
      <c r="G319" s="6" t="s">
        <v>18355</v>
      </c>
      <c r="H319" s="6" t="s">
        <v>6673</v>
      </c>
      <c r="I319" s="6" t="s">
        <v>868</v>
      </c>
      <c r="J319" s="6" t="s">
        <v>17484</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13629</v>
      </c>
    </row>
    <row r="323" spans="7:10" ht="22.5" x14ac:dyDescent="0.2">
      <c r="G323" s="6" t="s">
        <v>18355</v>
      </c>
      <c r="H323" s="6" t="s">
        <v>6673</v>
      </c>
      <c r="I323" s="6" t="s">
        <v>868</v>
      </c>
      <c r="J323" s="6" t="s">
        <v>868</v>
      </c>
    </row>
    <row r="324" spans="7:10" x14ac:dyDescent="0.2">
      <c r="G324" s="6" t="s">
        <v>18355</v>
      </c>
      <c r="H324" s="6" t="s">
        <v>6673</v>
      </c>
      <c r="I324" s="6" t="s">
        <v>14655</v>
      </c>
      <c r="J324" s="6" t="s">
        <v>14655</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12422</v>
      </c>
      <c r="J327" s="6" t="s">
        <v>7228</v>
      </c>
    </row>
    <row r="328" spans="7:10" x14ac:dyDescent="0.2">
      <c r="G328" s="6" t="s">
        <v>18355</v>
      </c>
      <c r="H328" s="6" t="s">
        <v>6673</v>
      </c>
      <c r="I328" s="6" t="s">
        <v>12422</v>
      </c>
      <c r="J328" s="6" t="s">
        <v>4285</v>
      </c>
    </row>
    <row r="329" spans="7:10" x14ac:dyDescent="0.2">
      <c r="G329" s="6" t="s">
        <v>18355</v>
      </c>
      <c r="H329" s="6" t="s">
        <v>6673</v>
      </c>
      <c r="I329" s="6" t="s">
        <v>12422</v>
      </c>
      <c r="J329" s="6" t="s">
        <v>6331</v>
      </c>
    </row>
    <row r="330" spans="7:10" x14ac:dyDescent="0.2">
      <c r="G330" s="6" t="s">
        <v>18355</v>
      </c>
      <c r="H330" s="6" t="s">
        <v>6673</v>
      </c>
      <c r="I330" s="6" t="s">
        <v>12422</v>
      </c>
      <c r="J330" s="6" t="s">
        <v>12422</v>
      </c>
    </row>
    <row r="331" spans="7:10" x14ac:dyDescent="0.2">
      <c r="G331" s="6" t="s">
        <v>18355</v>
      </c>
      <c r="H331" s="6" t="s">
        <v>6673</v>
      </c>
      <c r="I331" s="6" t="s">
        <v>11180</v>
      </c>
      <c r="J331" s="6" t="s">
        <v>4435</v>
      </c>
    </row>
    <row r="332" spans="7:10" x14ac:dyDescent="0.2">
      <c r="G332" s="6" t="s">
        <v>18355</v>
      </c>
      <c r="H332" s="6" t="s">
        <v>6673</v>
      </c>
      <c r="I332" s="6" t="s">
        <v>11180</v>
      </c>
      <c r="J332" s="6" t="s">
        <v>11640</v>
      </c>
    </row>
    <row r="333" spans="7:10" x14ac:dyDescent="0.2">
      <c r="G333" s="6" t="s">
        <v>18355</v>
      </c>
      <c r="H333" s="6" t="s">
        <v>6673</v>
      </c>
      <c r="I333" s="6" t="s">
        <v>11180</v>
      </c>
      <c r="J333" s="6" t="s">
        <v>16932</v>
      </c>
    </row>
    <row r="334" spans="7:10" x14ac:dyDescent="0.2">
      <c r="G334" s="6" t="s">
        <v>18355</v>
      </c>
      <c r="H334" s="6" t="s">
        <v>6673</v>
      </c>
      <c r="I334" s="6" t="s">
        <v>11180</v>
      </c>
      <c r="J334" s="6" t="s">
        <v>11180</v>
      </c>
    </row>
    <row r="335" spans="7:10" x14ac:dyDescent="0.2">
      <c r="G335" s="6" t="s">
        <v>18355</v>
      </c>
      <c r="H335" s="6" t="s">
        <v>5155</v>
      </c>
      <c r="I335" s="6" t="s">
        <v>9102</v>
      </c>
      <c r="J335" s="6" t="s">
        <v>9102</v>
      </c>
    </row>
    <row r="336" spans="7:10" x14ac:dyDescent="0.2">
      <c r="G336" s="6" t="s">
        <v>18355</v>
      </c>
      <c r="H336" s="6" t="s">
        <v>5155</v>
      </c>
      <c r="I336" s="6" t="s">
        <v>9102</v>
      </c>
      <c r="J336" s="6" t="s">
        <v>12601</v>
      </c>
    </row>
    <row r="337" spans="7:10" x14ac:dyDescent="0.2">
      <c r="G337" s="6" t="s">
        <v>18355</v>
      </c>
      <c r="H337" s="6" t="s">
        <v>5155</v>
      </c>
      <c r="I337" s="6" t="s">
        <v>9102</v>
      </c>
      <c r="J337" s="6" t="s">
        <v>14360</v>
      </c>
    </row>
    <row r="338" spans="7:10" x14ac:dyDescent="0.2">
      <c r="G338" s="6" t="s">
        <v>18355</v>
      </c>
      <c r="H338" s="6" t="s">
        <v>5155</v>
      </c>
      <c r="I338" s="6" t="s">
        <v>9102</v>
      </c>
      <c r="J338" s="6" t="s">
        <v>12415</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6288</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17636</v>
      </c>
      <c r="J350" s="6" t="s">
        <v>12240</v>
      </c>
    </row>
    <row r="351" spans="7:10" ht="22.5" x14ac:dyDescent="0.2">
      <c r="G351" s="6" t="s">
        <v>18355</v>
      </c>
      <c r="H351" s="6" t="s">
        <v>15160</v>
      </c>
      <c r="I351" s="6" t="s">
        <v>17636</v>
      </c>
      <c r="J351" s="6" t="s">
        <v>17636</v>
      </c>
    </row>
    <row r="352" spans="7:10" x14ac:dyDescent="0.2">
      <c r="G352" s="6" t="s">
        <v>18355</v>
      </c>
      <c r="H352" s="6" t="s">
        <v>15160</v>
      </c>
      <c r="I352" s="6" t="s">
        <v>16185</v>
      </c>
      <c r="J352" s="6" t="s">
        <v>16185</v>
      </c>
    </row>
    <row r="353" spans="7:10" ht="22.5" x14ac:dyDescent="0.2">
      <c r="G353" s="6" t="s">
        <v>18355</v>
      </c>
      <c r="H353" s="6" t="s">
        <v>15160</v>
      </c>
      <c r="I353" s="6" t="s">
        <v>12498</v>
      </c>
      <c r="J353" s="6" t="s">
        <v>12498</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17538</v>
      </c>
      <c r="H369" s="6" t="s">
        <v>10724</v>
      </c>
      <c r="I369" s="6" t="s">
        <v>17679</v>
      </c>
      <c r="J369" s="6" t="s">
        <v>6370</v>
      </c>
    </row>
    <row r="370" spans="7:10" x14ac:dyDescent="0.2">
      <c r="G370" s="6" t="s">
        <v>17538</v>
      </c>
      <c r="H370" s="6" t="s">
        <v>10724</v>
      </c>
      <c r="I370" s="6" t="s">
        <v>17679</v>
      </c>
      <c r="J370" s="6" t="s">
        <v>1282</v>
      </c>
    </row>
    <row r="371" spans="7:10" x14ac:dyDescent="0.2">
      <c r="G371" s="6" t="s">
        <v>17538</v>
      </c>
      <c r="H371" s="6" t="s">
        <v>10724</v>
      </c>
      <c r="I371" s="6" t="s">
        <v>17679</v>
      </c>
      <c r="J371" s="6" t="s">
        <v>17679</v>
      </c>
    </row>
    <row r="372" spans="7:10" ht="22.5" x14ac:dyDescent="0.2">
      <c r="G372" s="6" t="s">
        <v>17538</v>
      </c>
      <c r="H372" s="6" t="s">
        <v>10724</v>
      </c>
      <c r="I372" s="6" t="s">
        <v>18073</v>
      </c>
      <c r="J372" s="6" t="s">
        <v>11789</v>
      </c>
    </row>
    <row r="373" spans="7:10" ht="22.5" x14ac:dyDescent="0.2">
      <c r="G373" s="6" t="s">
        <v>17538</v>
      </c>
      <c r="H373" s="6" t="s">
        <v>10724</v>
      </c>
      <c r="I373" s="6" t="s">
        <v>18073</v>
      </c>
      <c r="J373" s="6" t="s">
        <v>18073</v>
      </c>
    </row>
    <row r="374" spans="7:10" ht="22.5" x14ac:dyDescent="0.2">
      <c r="G374" s="6" t="s">
        <v>17538</v>
      </c>
      <c r="H374" s="6" t="s">
        <v>10724</v>
      </c>
      <c r="I374" s="6" t="s">
        <v>18073</v>
      </c>
      <c r="J374" s="6" t="s">
        <v>3949</v>
      </c>
    </row>
    <row r="375" spans="7:10" ht="22.5" x14ac:dyDescent="0.2">
      <c r="G375" s="6" t="s">
        <v>17538</v>
      </c>
      <c r="H375" s="6" t="s">
        <v>10724</v>
      </c>
      <c r="I375" s="6" t="s">
        <v>18073</v>
      </c>
      <c r="J375" s="6" t="s">
        <v>10887</v>
      </c>
    </row>
    <row r="376" spans="7:10" ht="22.5" x14ac:dyDescent="0.2">
      <c r="G376" s="6" t="s">
        <v>17538</v>
      </c>
      <c r="H376" s="6" t="s">
        <v>628</v>
      </c>
      <c r="I376" s="6" t="s">
        <v>12142</v>
      </c>
      <c r="J376" s="6" t="s">
        <v>6992</v>
      </c>
    </row>
    <row r="377" spans="7:10" ht="22.5" x14ac:dyDescent="0.2">
      <c r="G377" s="6" t="s">
        <v>17538</v>
      </c>
      <c r="H377" s="6" t="s">
        <v>628</v>
      </c>
      <c r="I377" s="6" t="s">
        <v>12142</v>
      </c>
      <c r="J377" s="6" t="s">
        <v>9384</v>
      </c>
    </row>
    <row r="378" spans="7:10" ht="22.5" x14ac:dyDescent="0.2">
      <c r="G378" s="6" t="s">
        <v>17538</v>
      </c>
      <c r="H378" s="6" t="s">
        <v>628</v>
      </c>
      <c r="I378" s="6" t="s">
        <v>12142</v>
      </c>
      <c r="J378" s="6" t="s">
        <v>12142</v>
      </c>
    </row>
    <row r="379" spans="7:10" ht="22.5" x14ac:dyDescent="0.2">
      <c r="G379" s="6" t="s">
        <v>17538</v>
      </c>
      <c r="H379" s="6" t="s">
        <v>628</v>
      </c>
      <c r="I379" s="6" t="s">
        <v>12142</v>
      </c>
      <c r="J379" s="6" t="s">
        <v>8298</v>
      </c>
    </row>
    <row r="380" spans="7:10" ht="22.5" x14ac:dyDescent="0.2">
      <c r="G380" s="6" t="s">
        <v>17538</v>
      </c>
      <c r="H380" s="6" t="s">
        <v>628</v>
      </c>
      <c r="I380" s="6" t="s">
        <v>3958</v>
      </c>
      <c r="J380" s="6" t="s">
        <v>7701</v>
      </c>
    </row>
    <row r="381" spans="7:10" ht="22.5" x14ac:dyDescent="0.2">
      <c r="G381" s="6" t="s">
        <v>17538</v>
      </c>
      <c r="H381" s="6" t="s">
        <v>628</v>
      </c>
      <c r="I381" s="6" t="s">
        <v>3958</v>
      </c>
      <c r="J381" s="6" t="s">
        <v>10102</v>
      </c>
    </row>
    <row r="382" spans="7:10" ht="22.5" x14ac:dyDescent="0.2">
      <c r="G382" s="6" t="s">
        <v>17538</v>
      </c>
      <c r="H382" s="6" t="s">
        <v>628</v>
      </c>
      <c r="I382" s="6" t="s">
        <v>3958</v>
      </c>
      <c r="J382" s="6" t="s">
        <v>3958</v>
      </c>
    </row>
    <row r="383" spans="7:10" x14ac:dyDescent="0.2">
      <c r="G383" s="6" t="s">
        <v>17538</v>
      </c>
      <c r="H383" s="6" t="s">
        <v>7757</v>
      </c>
      <c r="I383" s="6" t="s">
        <v>3618</v>
      </c>
      <c r="J383" s="6" t="s">
        <v>3618</v>
      </c>
    </row>
    <row r="384" spans="7:10" x14ac:dyDescent="0.2">
      <c r="G384" s="6" t="s">
        <v>17538</v>
      </c>
      <c r="H384" s="6" t="s">
        <v>7757</v>
      </c>
      <c r="I384" s="6" t="s">
        <v>7757</v>
      </c>
      <c r="J384" s="6" t="s">
        <v>1667</v>
      </c>
    </row>
    <row r="385" spans="7:10" x14ac:dyDescent="0.2">
      <c r="G385" s="6" t="s">
        <v>17538</v>
      </c>
      <c r="H385" s="6" t="s">
        <v>7757</v>
      </c>
      <c r="I385" s="6" t="s">
        <v>7757</v>
      </c>
      <c r="J385" s="6" t="s">
        <v>7757</v>
      </c>
    </row>
    <row r="386" spans="7:10" x14ac:dyDescent="0.2">
      <c r="G386" s="6" t="s">
        <v>17538</v>
      </c>
      <c r="H386" s="6" t="s">
        <v>7757</v>
      </c>
      <c r="I386" s="6" t="s">
        <v>2679</v>
      </c>
      <c r="J386" s="6" t="s">
        <v>11492</v>
      </c>
    </row>
    <row r="387" spans="7:10" x14ac:dyDescent="0.2">
      <c r="G387" s="6" t="s">
        <v>17538</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2286" workbookViewId="0">
      <selection activeCell="A2300" sqref="A2300"/>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6211</v>
      </c>
    </row>
    <row r="4" spans="1:2" x14ac:dyDescent="0.25">
      <c r="A4" s="57">
        <v>10101505</v>
      </c>
      <c r="B4" s="58" t="s">
        <v>6080</v>
      </c>
    </row>
    <row r="5" spans="1:2" x14ac:dyDescent="0.25">
      <c r="A5" s="57">
        <v>10101506</v>
      </c>
      <c r="B5" s="58" t="s">
        <v>12252</v>
      </c>
    </row>
    <row r="6" spans="1:2" x14ac:dyDescent="0.25">
      <c r="A6" s="57">
        <v>10101507</v>
      </c>
      <c r="B6" s="58" t="s">
        <v>10585</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9956</v>
      </c>
    </row>
    <row r="12" spans="1:2" x14ac:dyDescent="0.25">
      <c r="A12" s="57">
        <v>10101513</v>
      </c>
      <c r="B12" s="58" t="s">
        <v>5965</v>
      </c>
    </row>
    <row r="13" spans="1:2" x14ac:dyDescent="0.25">
      <c r="A13" s="57">
        <v>10101514</v>
      </c>
      <c r="B13" s="58" t="s">
        <v>15764</v>
      </c>
    </row>
    <row r="14" spans="1:2" x14ac:dyDescent="0.25">
      <c r="A14" s="57">
        <v>10101515</v>
      </c>
      <c r="B14" s="58" t="s">
        <v>5983</v>
      </c>
    </row>
    <row r="15" spans="1:2" x14ac:dyDescent="0.25">
      <c r="A15" s="57">
        <v>10101516</v>
      </c>
      <c r="B15" s="58" t="s">
        <v>6565</v>
      </c>
    </row>
    <row r="16" spans="1:2" x14ac:dyDescent="0.25">
      <c r="A16" s="57">
        <v>10101517</v>
      </c>
      <c r="B16" s="58" t="s">
        <v>13660</v>
      </c>
    </row>
    <row r="17" spans="1:2" x14ac:dyDescent="0.25">
      <c r="A17" s="57">
        <v>10101601</v>
      </c>
      <c r="B17" s="58" t="s">
        <v>5544</v>
      </c>
    </row>
    <row r="18" spans="1:2" x14ac:dyDescent="0.25">
      <c r="A18" s="57">
        <v>10101602</v>
      </c>
      <c r="B18" s="58" t="s">
        <v>8485</v>
      </c>
    </row>
    <row r="19" spans="1:2" x14ac:dyDescent="0.25">
      <c r="A19" s="57">
        <v>10101603</v>
      </c>
      <c r="B19" s="58" t="s">
        <v>12682</v>
      </c>
    </row>
    <row r="20" spans="1:2" x14ac:dyDescent="0.25">
      <c r="A20" s="57">
        <v>10101604</v>
      </c>
      <c r="B20" s="58" t="s">
        <v>9166</v>
      </c>
    </row>
    <row r="21" spans="1:2" x14ac:dyDescent="0.25">
      <c r="A21" s="57">
        <v>10101605</v>
      </c>
      <c r="B21" s="58" t="s">
        <v>5904</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10739</v>
      </c>
    </row>
    <row r="34" spans="1:2" x14ac:dyDescent="0.25">
      <c r="A34" s="57">
        <v>10101808</v>
      </c>
      <c r="B34" s="58" t="s">
        <v>7434</v>
      </c>
    </row>
    <row r="35" spans="1:2" x14ac:dyDescent="0.25">
      <c r="A35" s="57">
        <v>10101901</v>
      </c>
      <c r="B35" s="58" t="s">
        <v>10156</v>
      </c>
    </row>
    <row r="36" spans="1:2" x14ac:dyDescent="0.25">
      <c r="A36" s="57">
        <v>10101902</v>
      </c>
      <c r="B36" s="58" t="s">
        <v>14169</v>
      </c>
    </row>
    <row r="37" spans="1:2" x14ac:dyDescent="0.25">
      <c r="A37" s="57">
        <v>10101903</v>
      </c>
      <c r="B37" s="58" t="s">
        <v>8346</v>
      </c>
    </row>
    <row r="38" spans="1:2" x14ac:dyDescent="0.25">
      <c r="A38" s="57">
        <v>10101904</v>
      </c>
      <c r="B38" s="58" t="s">
        <v>16404</v>
      </c>
    </row>
    <row r="39" spans="1:2" x14ac:dyDescent="0.25">
      <c r="A39" s="57">
        <v>10102001</v>
      </c>
      <c r="B39" s="58" t="s">
        <v>9777</v>
      </c>
    </row>
    <row r="40" spans="1:2" x14ac:dyDescent="0.25">
      <c r="A40" s="57">
        <v>10102002</v>
      </c>
      <c r="B40" s="58" t="s">
        <v>4570</v>
      </c>
    </row>
    <row r="41" spans="1:2" x14ac:dyDescent="0.25">
      <c r="A41" s="57">
        <v>10111301</v>
      </c>
      <c r="B41" s="58" t="s">
        <v>17399</v>
      </c>
    </row>
    <row r="42" spans="1:2" x14ac:dyDescent="0.25">
      <c r="A42" s="57">
        <v>10111302</v>
      </c>
      <c r="B42" s="58" t="s">
        <v>17110</v>
      </c>
    </row>
    <row r="43" spans="1:2" x14ac:dyDescent="0.25">
      <c r="A43" s="57">
        <v>10111303</v>
      </c>
      <c r="B43" s="58" t="s">
        <v>12216</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6275</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13799</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11378</v>
      </c>
    </row>
    <row r="93" spans="1:2" x14ac:dyDescent="0.25">
      <c r="A93" s="57">
        <v>10141607</v>
      </c>
      <c r="B93" s="58" t="s">
        <v>4279</v>
      </c>
    </row>
    <row r="94" spans="1:2" x14ac:dyDescent="0.25">
      <c r="A94" s="57">
        <v>10141608</v>
      </c>
      <c r="B94" s="58" t="s">
        <v>6186</v>
      </c>
    </row>
    <row r="95" spans="1:2" x14ac:dyDescent="0.25">
      <c r="A95" s="57">
        <v>10141609</v>
      </c>
      <c r="B95" s="58" t="s">
        <v>7450</v>
      </c>
    </row>
    <row r="96" spans="1:2" x14ac:dyDescent="0.25">
      <c r="A96" s="57">
        <v>10141610</v>
      </c>
      <c r="B96" s="58" t="s">
        <v>14402</v>
      </c>
    </row>
    <row r="97" spans="1:2" x14ac:dyDescent="0.25">
      <c r="A97" s="57">
        <v>10141611</v>
      </c>
      <c r="B97" s="58" t="s">
        <v>11663</v>
      </c>
    </row>
    <row r="98" spans="1:2" x14ac:dyDescent="0.25">
      <c r="A98" s="57">
        <v>10151501</v>
      </c>
      <c r="B98" s="58" t="s">
        <v>1468</v>
      </c>
    </row>
    <row r="99" spans="1:2" x14ac:dyDescent="0.25">
      <c r="A99" s="57">
        <v>10151502</v>
      </c>
      <c r="B99" s="58" t="s">
        <v>18815</v>
      </c>
    </row>
    <row r="100" spans="1:2" x14ac:dyDescent="0.25">
      <c r="A100" s="57">
        <v>10151503</v>
      </c>
      <c r="B100" s="58" t="s">
        <v>5030</v>
      </c>
    </row>
    <row r="101" spans="1:2" x14ac:dyDescent="0.25">
      <c r="A101" s="57">
        <v>10151504</v>
      </c>
      <c r="B101" s="58" t="s">
        <v>14686</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12433</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14018</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14372</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13226</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11193</v>
      </c>
    </row>
    <row r="171" spans="1:2" x14ac:dyDescent="0.25">
      <c r="A171" s="57">
        <v>10152101</v>
      </c>
      <c r="B171" s="58" t="s">
        <v>17376</v>
      </c>
    </row>
    <row r="172" spans="1:2" x14ac:dyDescent="0.25">
      <c r="A172" s="57">
        <v>10152102</v>
      </c>
      <c r="B172" s="58" t="s">
        <v>1107</v>
      </c>
    </row>
    <row r="173" spans="1:2" x14ac:dyDescent="0.25">
      <c r="A173" s="57">
        <v>10152103</v>
      </c>
      <c r="B173" s="58" t="s">
        <v>5491</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17511</v>
      </c>
    </row>
    <row r="178" spans="1:2" x14ac:dyDescent="0.25">
      <c r="A178" s="57">
        <v>10161502</v>
      </c>
      <c r="B178" s="58" t="s">
        <v>16481</v>
      </c>
    </row>
    <row r="179" spans="1:2" x14ac:dyDescent="0.25">
      <c r="A179" s="57">
        <v>10161503</v>
      </c>
      <c r="B179" s="58" t="s">
        <v>10734</v>
      </c>
    </row>
    <row r="180" spans="1:2" x14ac:dyDescent="0.25">
      <c r="A180" s="57">
        <v>10161504</v>
      </c>
      <c r="B180" s="58" t="s">
        <v>3792</v>
      </c>
    </row>
    <row r="181" spans="1:2" x14ac:dyDescent="0.25">
      <c r="A181" s="57">
        <v>10161505</v>
      </c>
      <c r="B181" s="58" t="s">
        <v>14008</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13765</v>
      </c>
    </row>
    <row r="195" spans="1:2" x14ac:dyDescent="0.25">
      <c r="A195" s="57">
        <v>10161701</v>
      </c>
      <c r="B195" s="58" t="s">
        <v>3190</v>
      </c>
    </row>
    <row r="196" spans="1:2" x14ac:dyDescent="0.25">
      <c r="A196" s="57">
        <v>10161702</v>
      </c>
      <c r="B196" s="58" t="s">
        <v>13288</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7792</v>
      </c>
    </row>
    <row r="202" spans="1:2" x14ac:dyDescent="0.25">
      <c r="A202" s="57">
        <v>10161802</v>
      </c>
      <c r="B202" s="58" t="s">
        <v>13525</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17614</v>
      </c>
    </row>
    <row r="215" spans="1:2" x14ac:dyDescent="0.25">
      <c r="A215" s="57">
        <v>10171503</v>
      </c>
      <c r="B215" s="58" t="s">
        <v>6483</v>
      </c>
    </row>
    <row r="216" spans="1:2" x14ac:dyDescent="0.25">
      <c r="A216" s="57">
        <v>10171504</v>
      </c>
      <c r="B216" s="58" t="s">
        <v>4500</v>
      </c>
    </row>
    <row r="217" spans="1:2" x14ac:dyDescent="0.25">
      <c r="A217" s="57">
        <v>10171601</v>
      </c>
      <c r="B217" s="58" t="s">
        <v>17570</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6187</v>
      </c>
    </row>
    <row r="228" spans="1:2" x14ac:dyDescent="0.25">
      <c r="A228" s="57">
        <v>10191701</v>
      </c>
      <c r="B228" s="58" t="s">
        <v>15088</v>
      </c>
    </row>
    <row r="229" spans="1:2" x14ac:dyDescent="0.25">
      <c r="A229" s="57">
        <v>10191703</v>
      </c>
      <c r="B229" s="58" t="s">
        <v>5993</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14636</v>
      </c>
    </row>
    <row r="241" spans="1:2" x14ac:dyDescent="0.25">
      <c r="A241" s="57">
        <v>11101509</v>
      </c>
      <c r="B241" s="58" t="s">
        <v>12521</v>
      </c>
    </row>
    <row r="242" spans="1:2" x14ac:dyDescent="0.25">
      <c r="A242" s="57">
        <v>11101510</v>
      </c>
      <c r="B242" s="58" t="s">
        <v>17278</v>
      </c>
    </row>
    <row r="243" spans="1:2" x14ac:dyDescent="0.25">
      <c r="A243" s="57">
        <v>11101511</v>
      </c>
      <c r="B243" s="58" t="s">
        <v>6290</v>
      </c>
    </row>
    <row r="244" spans="1:2" x14ac:dyDescent="0.25">
      <c r="A244" s="57">
        <v>11101512</v>
      </c>
      <c r="B244" s="58" t="s">
        <v>5578</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13323</v>
      </c>
    </row>
    <row r="257" spans="1:2" x14ac:dyDescent="0.25">
      <c r="A257" s="57">
        <v>11101525</v>
      </c>
      <c r="B257" s="58" t="s">
        <v>18277</v>
      </c>
    </row>
    <row r="258" spans="1:2" x14ac:dyDescent="0.25">
      <c r="A258" s="57">
        <v>11101526</v>
      </c>
      <c r="B258" s="58" t="s">
        <v>13672</v>
      </c>
    </row>
    <row r="259" spans="1:2" x14ac:dyDescent="0.25">
      <c r="A259" s="57">
        <v>11101527</v>
      </c>
      <c r="B259" s="58" t="s">
        <v>10220</v>
      </c>
    </row>
    <row r="260" spans="1:2" x14ac:dyDescent="0.25">
      <c r="A260" s="57">
        <v>11101601</v>
      </c>
      <c r="B260" s="58" t="s">
        <v>7454</v>
      </c>
    </row>
    <row r="261" spans="1:2" x14ac:dyDescent="0.25">
      <c r="A261" s="57">
        <v>11101602</v>
      </c>
      <c r="B261" s="58" t="s">
        <v>10680</v>
      </c>
    </row>
    <row r="262" spans="1:2" x14ac:dyDescent="0.25">
      <c r="A262" s="57">
        <v>11101603</v>
      </c>
      <c r="B262" s="58" t="s">
        <v>16253</v>
      </c>
    </row>
    <row r="263" spans="1:2" x14ac:dyDescent="0.25">
      <c r="A263" s="57">
        <v>11101604</v>
      </c>
      <c r="B263" s="58" t="s">
        <v>5453</v>
      </c>
    </row>
    <row r="264" spans="1:2" x14ac:dyDescent="0.25">
      <c r="A264" s="57">
        <v>11101605</v>
      </c>
      <c r="B264" s="58" t="s">
        <v>9825</v>
      </c>
    </row>
    <row r="265" spans="1:2" x14ac:dyDescent="0.25">
      <c r="A265" s="57">
        <v>11101606</v>
      </c>
      <c r="B265" s="58" t="s">
        <v>13293</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10193</v>
      </c>
    </row>
    <row r="283" spans="1:2" x14ac:dyDescent="0.25">
      <c r="A283" s="57">
        <v>11101701</v>
      </c>
      <c r="B283" s="58" t="s">
        <v>12452</v>
      </c>
    </row>
    <row r="284" spans="1:2" x14ac:dyDescent="0.25">
      <c r="A284" s="57">
        <v>11101702</v>
      </c>
      <c r="B284" s="58" t="s">
        <v>18281</v>
      </c>
    </row>
    <row r="285" spans="1:2" x14ac:dyDescent="0.25">
      <c r="A285" s="57">
        <v>11101703</v>
      </c>
      <c r="B285" s="58" t="s">
        <v>5580</v>
      </c>
    </row>
    <row r="286" spans="1:2" x14ac:dyDescent="0.25">
      <c r="A286" s="57">
        <v>11101704</v>
      </c>
      <c r="B286" s="58" t="s">
        <v>12759</v>
      </c>
    </row>
    <row r="287" spans="1:2" x14ac:dyDescent="0.25">
      <c r="A287" s="57">
        <v>11101705</v>
      </c>
      <c r="B287" s="58" t="s">
        <v>13101</v>
      </c>
    </row>
    <row r="288" spans="1:2" x14ac:dyDescent="0.25">
      <c r="A288" s="57">
        <v>11101706</v>
      </c>
      <c r="B288" s="58" t="s">
        <v>14043</v>
      </c>
    </row>
    <row r="289" spans="1:2" x14ac:dyDescent="0.25">
      <c r="A289" s="57">
        <v>11101707</v>
      </c>
      <c r="B289" s="58" t="s">
        <v>12686</v>
      </c>
    </row>
    <row r="290" spans="1:2" x14ac:dyDescent="0.25">
      <c r="A290" s="57">
        <v>11101708</v>
      </c>
      <c r="B290" s="58" t="s">
        <v>5251</v>
      </c>
    </row>
    <row r="291" spans="1:2" x14ac:dyDescent="0.25">
      <c r="A291" s="57">
        <v>11101709</v>
      </c>
      <c r="B291" s="58" t="s">
        <v>12314</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10865</v>
      </c>
    </row>
    <row r="299" spans="1:2" x14ac:dyDescent="0.25">
      <c r="A299" s="57">
        <v>11101717</v>
      </c>
      <c r="B299" s="58" t="s">
        <v>17924</v>
      </c>
    </row>
    <row r="300" spans="1:2" x14ac:dyDescent="0.25">
      <c r="A300" s="57">
        <v>11101718</v>
      </c>
      <c r="B300" s="58" t="s">
        <v>8416</v>
      </c>
    </row>
    <row r="301" spans="1:2" x14ac:dyDescent="0.25">
      <c r="A301" s="57">
        <v>11101719</v>
      </c>
      <c r="B301" s="58" t="s">
        <v>5782</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14644</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12864</v>
      </c>
    </row>
    <row r="317" spans="1:2" x14ac:dyDescent="0.25">
      <c r="A317" s="57">
        <v>11111610</v>
      </c>
      <c r="B317" s="58" t="s">
        <v>17674</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13895</v>
      </c>
    </row>
    <row r="325" spans="1:2" x14ac:dyDescent="0.25">
      <c r="A325" s="57">
        <v>11111806</v>
      </c>
      <c r="B325" s="58" t="s">
        <v>6668</v>
      </c>
    </row>
    <row r="326" spans="1:2" x14ac:dyDescent="0.25">
      <c r="A326" s="57">
        <v>11111807</v>
      </c>
      <c r="B326" s="58" t="s">
        <v>9472</v>
      </c>
    </row>
    <row r="327" spans="1:2" x14ac:dyDescent="0.25">
      <c r="A327" s="57">
        <v>11111808</v>
      </c>
      <c r="B327" s="58" t="s">
        <v>11619</v>
      </c>
    </row>
    <row r="328" spans="1:2" x14ac:dyDescent="0.25">
      <c r="A328" s="57">
        <v>11111809</v>
      </c>
      <c r="B328" s="58" t="s">
        <v>4779</v>
      </c>
    </row>
    <row r="329" spans="1:2" x14ac:dyDescent="0.25">
      <c r="A329" s="57">
        <v>11111810</v>
      </c>
      <c r="B329" s="58" t="s">
        <v>8378</v>
      </c>
    </row>
    <row r="330" spans="1:2" x14ac:dyDescent="0.25">
      <c r="A330" s="57">
        <v>11121502</v>
      </c>
      <c r="B330" s="58" t="s">
        <v>12291</v>
      </c>
    </row>
    <row r="331" spans="1:2" x14ac:dyDescent="0.25">
      <c r="A331" s="57">
        <v>11121503</v>
      </c>
      <c r="B331" s="58" t="s">
        <v>16910</v>
      </c>
    </row>
    <row r="332" spans="1:2" x14ac:dyDescent="0.25">
      <c r="A332" s="57">
        <v>11121603</v>
      </c>
      <c r="B332" s="58" t="s">
        <v>8978</v>
      </c>
    </row>
    <row r="333" spans="1:2" x14ac:dyDescent="0.25">
      <c r="A333" s="57">
        <v>11121604</v>
      </c>
      <c r="B333" s="58" t="s">
        <v>11896</v>
      </c>
    </row>
    <row r="334" spans="1:2" x14ac:dyDescent="0.25">
      <c r="A334" s="57">
        <v>11121605</v>
      </c>
      <c r="B334" s="58" t="s">
        <v>5727</v>
      </c>
    </row>
    <row r="335" spans="1:2" x14ac:dyDescent="0.25">
      <c r="A335" s="57">
        <v>11121606</v>
      </c>
      <c r="B335" s="58" t="s">
        <v>5527</v>
      </c>
    </row>
    <row r="336" spans="1:2" x14ac:dyDescent="0.25">
      <c r="A336" s="57">
        <v>11121607</v>
      </c>
      <c r="B336" s="58" t="s">
        <v>13872</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6204</v>
      </c>
    </row>
    <row r="343" spans="1:2" x14ac:dyDescent="0.25">
      <c r="A343" s="57">
        <v>11121702</v>
      </c>
      <c r="B343" s="58" t="s">
        <v>721</v>
      </c>
    </row>
    <row r="344" spans="1:2" x14ac:dyDescent="0.25">
      <c r="A344" s="57">
        <v>11121703</v>
      </c>
      <c r="B344" s="58" t="s">
        <v>4403</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3155</v>
      </c>
    </row>
    <row r="352" spans="1:2" x14ac:dyDescent="0.25">
      <c r="A352" s="57">
        <v>11121802</v>
      </c>
      <c r="B352" s="58" t="s">
        <v>17403</v>
      </c>
    </row>
    <row r="353" spans="1:2" x14ac:dyDescent="0.25">
      <c r="A353" s="57">
        <v>11121803</v>
      </c>
      <c r="B353" s="58" t="s">
        <v>14623</v>
      </c>
    </row>
    <row r="354" spans="1:2" x14ac:dyDescent="0.25">
      <c r="A354" s="57">
        <v>11121804</v>
      </c>
      <c r="B354" s="58" t="s">
        <v>14115</v>
      </c>
    </row>
    <row r="355" spans="1:2" x14ac:dyDescent="0.25">
      <c r="A355" s="57">
        <v>11121805</v>
      </c>
      <c r="B355" s="58" t="s">
        <v>9468</v>
      </c>
    </row>
    <row r="356" spans="1:2" x14ac:dyDescent="0.25">
      <c r="A356" s="57">
        <v>11121806</v>
      </c>
      <c r="B356" s="58" t="s">
        <v>16915</v>
      </c>
    </row>
    <row r="357" spans="1:2" x14ac:dyDescent="0.25">
      <c r="A357" s="57">
        <v>11121807</v>
      </c>
      <c r="B357" s="58" t="s">
        <v>18776</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13775</v>
      </c>
    </row>
    <row r="372" spans="1:2" x14ac:dyDescent="0.25">
      <c r="A372" s="57">
        <v>11131603</v>
      </c>
      <c r="B372" s="58" t="s">
        <v>7842</v>
      </c>
    </row>
    <row r="373" spans="1:2" x14ac:dyDescent="0.25">
      <c r="A373" s="57">
        <v>11131604</v>
      </c>
      <c r="B373" s="58" t="s">
        <v>5833</v>
      </c>
    </row>
    <row r="374" spans="1:2" x14ac:dyDescent="0.25">
      <c r="A374" s="57">
        <v>11131605</v>
      </c>
      <c r="B374" s="58" t="s">
        <v>12114</v>
      </c>
    </row>
    <row r="375" spans="1:2" x14ac:dyDescent="0.25">
      <c r="A375" s="57">
        <v>11131606</v>
      </c>
      <c r="B375" s="58" t="s">
        <v>2254</v>
      </c>
    </row>
    <row r="376" spans="1:2" x14ac:dyDescent="0.25">
      <c r="A376" s="57">
        <v>11131607</v>
      </c>
      <c r="B376" s="58" t="s">
        <v>4072</v>
      </c>
    </row>
    <row r="377" spans="1:2" x14ac:dyDescent="0.25">
      <c r="A377" s="57">
        <v>11131608</v>
      </c>
      <c r="B377" s="58" t="s">
        <v>9715</v>
      </c>
    </row>
    <row r="378" spans="1:2" x14ac:dyDescent="0.25">
      <c r="A378" s="57">
        <v>11141601</v>
      </c>
      <c r="B378" s="58" t="s">
        <v>7405</v>
      </c>
    </row>
    <row r="379" spans="1:2" x14ac:dyDescent="0.25">
      <c r="A379" s="57">
        <v>11141602</v>
      </c>
      <c r="B379" s="58" t="s">
        <v>13397</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10940</v>
      </c>
    </row>
    <row r="388" spans="1:2" x14ac:dyDescent="0.25">
      <c r="A388" s="57">
        <v>11141701</v>
      </c>
      <c r="B388" s="58" t="s">
        <v>7428</v>
      </c>
    </row>
    <row r="389" spans="1:2" x14ac:dyDescent="0.25">
      <c r="A389" s="57">
        <v>11141702</v>
      </c>
      <c r="B389" s="58" t="s">
        <v>13804</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12330</v>
      </c>
    </row>
    <row r="394" spans="1:2" x14ac:dyDescent="0.25">
      <c r="A394" s="57">
        <v>11151505</v>
      </c>
      <c r="B394" s="58" t="s">
        <v>11803</v>
      </c>
    </row>
    <row r="395" spans="1:2" x14ac:dyDescent="0.25">
      <c r="A395" s="57">
        <v>11151506</v>
      </c>
      <c r="B395" s="58" t="s">
        <v>15443</v>
      </c>
    </row>
    <row r="396" spans="1:2" x14ac:dyDescent="0.25">
      <c r="A396" s="57">
        <v>11151507</v>
      </c>
      <c r="B396" s="58" t="s">
        <v>14573</v>
      </c>
    </row>
    <row r="397" spans="1:2" x14ac:dyDescent="0.25">
      <c r="A397" s="57">
        <v>11151508</v>
      </c>
      <c r="B397" s="58" t="s">
        <v>6917</v>
      </c>
    </row>
    <row r="398" spans="1:2" x14ac:dyDescent="0.25">
      <c r="A398" s="57">
        <v>11151509</v>
      </c>
      <c r="B398" s="58" t="s">
        <v>104</v>
      </c>
    </row>
    <row r="399" spans="1:2" x14ac:dyDescent="0.25">
      <c r="A399" s="57">
        <v>11151510</v>
      </c>
      <c r="B399" s="58" t="s">
        <v>18699</v>
      </c>
    </row>
    <row r="400" spans="1:2" x14ac:dyDescent="0.25">
      <c r="A400" s="57">
        <v>11151511</v>
      </c>
      <c r="B400" s="58" t="s">
        <v>4339</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13864</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13174</v>
      </c>
    </row>
    <row r="435" spans="1:2" x14ac:dyDescent="0.25">
      <c r="A435" s="57">
        <v>11161601</v>
      </c>
      <c r="B435" s="58" t="s">
        <v>8772</v>
      </c>
    </row>
    <row r="436" spans="1:2" x14ac:dyDescent="0.25">
      <c r="A436" s="57">
        <v>11161602</v>
      </c>
      <c r="B436" s="58" t="s">
        <v>10425</v>
      </c>
    </row>
    <row r="437" spans="1:2" x14ac:dyDescent="0.25">
      <c r="A437" s="57">
        <v>11161603</v>
      </c>
      <c r="B437" s="58" t="s">
        <v>18767</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17777</v>
      </c>
    </row>
    <row r="445" spans="1:2" x14ac:dyDescent="0.25">
      <c r="A445" s="57">
        <v>11161802</v>
      </c>
      <c r="B445" s="58" t="s">
        <v>4894</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16854</v>
      </c>
    </row>
    <row r="450" spans="1:2" x14ac:dyDescent="0.25">
      <c r="A450" s="57">
        <v>11162002</v>
      </c>
      <c r="B450" s="58" t="s">
        <v>13160</v>
      </c>
    </row>
    <row r="451" spans="1:2" x14ac:dyDescent="0.25">
      <c r="A451" s="57">
        <v>11162003</v>
      </c>
      <c r="B451" s="58" t="s">
        <v>7948</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13463</v>
      </c>
    </row>
    <row r="462" spans="1:2" x14ac:dyDescent="0.25">
      <c r="A462" s="57">
        <v>11162113</v>
      </c>
      <c r="B462" s="58" t="s">
        <v>18786</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12338</v>
      </c>
    </row>
    <row r="467" spans="1:2" x14ac:dyDescent="0.25">
      <c r="A467" s="57">
        <v>11162118</v>
      </c>
      <c r="B467" s="58" t="s">
        <v>10794</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11153</v>
      </c>
    </row>
    <row r="472" spans="1:2" x14ac:dyDescent="0.25">
      <c r="A472" s="57">
        <v>11162123</v>
      </c>
      <c r="B472" s="58" t="s">
        <v>6870</v>
      </c>
    </row>
    <row r="473" spans="1:2" x14ac:dyDescent="0.25">
      <c r="A473" s="57">
        <v>11162124</v>
      </c>
      <c r="B473" s="58" t="s">
        <v>11867</v>
      </c>
    </row>
    <row r="474" spans="1:2" x14ac:dyDescent="0.25">
      <c r="A474" s="57">
        <v>11162125</v>
      </c>
      <c r="B474" s="58" t="s">
        <v>13649</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12751</v>
      </c>
    </row>
    <row r="484" spans="1:2" x14ac:dyDescent="0.25">
      <c r="A484" s="57">
        <v>11162302</v>
      </c>
      <c r="B484" s="58" t="s">
        <v>3928</v>
      </c>
    </row>
    <row r="485" spans="1:2" x14ac:dyDescent="0.25">
      <c r="A485" s="57">
        <v>11162303</v>
      </c>
      <c r="B485" s="58" t="s">
        <v>17539</v>
      </c>
    </row>
    <row r="486" spans="1:2" x14ac:dyDescent="0.25">
      <c r="A486" s="57">
        <v>11162304</v>
      </c>
      <c r="B486" s="58" t="s">
        <v>5923</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18738</v>
      </c>
    </row>
    <row r="492" spans="1:2" x14ac:dyDescent="0.25">
      <c r="A492" s="57">
        <v>11162310</v>
      </c>
      <c r="B492" s="58" t="s">
        <v>14349</v>
      </c>
    </row>
    <row r="493" spans="1:2" x14ac:dyDescent="0.25">
      <c r="A493" s="57">
        <v>11162311</v>
      </c>
      <c r="B493" s="58" t="s">
        <v>2111</v>
      </c>
    </row>
    <row r="494" spans="1:2" x14ac:dyDescent="0.25">
      <c r="A494" s="57">
        <v>11171501</v>
      </c>
      <c r="B494" s="58" t="s">
        <v>17704</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7642</v>
      </c>
    </row>
    <row r="500" spans="1:2" x14ac:dyDescent="0.25">
      <c r="A500" s="57">
        <v>11171801</v>
      </c>
      <c r="B500" s="58" t="s">
        <v>7546</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17301</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17465</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12880</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18730</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11748</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17732</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12773</v>
      </c>
    </row>
    <row r="559" spans="1:2" x14ac:dyDescent="0.25">
      <c r="A559" s="57">
        <v>12141609</v>
      </c>
      <c r="B559" s="58" t="s">
        <v>13868</v>
      </c>
    </row>
    <row r="560" spans="1:2" x14ac:dyDescent="0.25">
      <c r="A560" s="57">
        <v>12141610</v>
      </c>
      <c r="B560" s="58" t="s">
        <v>6304</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13136</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13936</v>
      </c>
    </row>
    <row r="569" spans="1:2" x14ac:dyDescent="0.25">
      <c r="A569" s="57">
        <v>12141702</v>
      </c>
      <c r="B569" s="58" t="s">
        <v>17358</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14583</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4878</v>
      </c>
    </row>
    <row r="583" spans="1:2" x14ac:dyDescent="0.25">
      <c r="A583" s="57">
        <v>12141716</v>
      </c>
      <c r="B583" s="58" t="s">
        <v>6019</v>
      </c>
    </row>
    <row r="584" spans="1:2" x14ac:dyDescent="0.25">
      <c r="A584" s="57">
        <v>12141717</v>
      </c>
      <c r="B584" s="58" t="s">
        <v>18126</v>
      </c>
    </row>
    <row r="585" spans="1:2" x14ac:dyDescent="0.25">
      <c r="A585" s="57">
        <v>12141718</v>
      </c>
      <c r="B585" s="58" t="s">
        <v>14699</v>
      </c>
    </row>
    <row r="586" spans="1:2" x14ac:dyDescent="0.25">
      <c r="A586" s="57">
        <v>12141719</v>
      </c>
      <c r="B586" s="58" t="s">
        <v>13759</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13173</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12491</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5189</v>
      </c>
    </row>
    <row r="605" spans="1:2" x14ac:dyDescent="0.25">
      <c r="A605" s="57">
        <v>12141738</v>
      </c>
      <c r="B605" s="58" t="s">
        <v>9395</v>
      </c>
    </row>
    <row r="606" spans="1:2" x14ac:dyDescent="0.25">
      <c r="A606" s="57">
        <v>12141739</v>
      </c>
      <c r="B606" s="58" t="s">
        <v>13387</v>
      </c>
    </row>
    <row r="607" spans="1:2" x14ac:dyDescent="0.25">
      <c r="A607" s="57">
        <v>12141740</v>
      </c>
      <c r="B607" s="58" t="s">
        <v>5922</v>
      </c>
    </row>
    <row r="608" spans="1:2" x14ac:dyDescent="0.25">
      <c r="A608" s="57">
        <v>12141741</v>
      </c>
      <c r="B608" s="58" t="s">
        <v>4893</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11207</v>
      </c>
    </row>
    <row r="614" spans="1:2" x14ac:dyDescent="0.25">
      <c r="A614" s="57">
        <v>12141747</v>
      </c>
      <c r="B614" s="58" t="s">
        <v>4505</v>
      </c>
    </row>
    <row r="615" spans="1:2" x14ac:dyDescent="0.25">
      <c r="A615" s="57">
        <v>12141748</v>
      </c>
      <c r="B615" s="58" t="s">
        <v>13205</v>
      </c>
    </row>
    <row r="616" spans="1:2" x14ac:dyDescent="0.25">
      <c r="A616" s="57">
        <v>12141749</v>
      </c>
      <c r="B616" s="58" t="s">
        <v>17039</v>
      </c>
    </row>
    <row r="617" spans="1:2" x14ac:dyDescent="0.25">
      <c r="A617" s="57">
        <v>12141750</v>
      </c>
      <c r="B617" s="58" t="s">
        <v>7789</v>
      </c>
    </row>
    <row r="618" spans="1:2" x14ac:dyDescent="0.25">
      <c r="A618" s="57">
        <v>12141751</v>
      </c>
      <c r="B618" s="58" t="s">
        <v>10467</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17227</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17683</v>
      </c>
    </row>
    <row r="652" spans="1:2" x14ac:dyDescent="0.25">
      <c r="A652" s="57">
        <v>12142003</v>
      </c>
      <c r="B652" s="58" t="s">
        <v>1654</v>
      </c>
    </row>
    <row r="653" spans="1:2" x14ac:dyDescent="0.25">
      <c r="A653" s="57">
        <v>12142004</v>
      </c>
      <c r="B653" s="58" t="s">
        <v>13820</v>
      </c>
    </row>
    <row r="654" spans="1:2" x14ac:dyDescent="0.25">
      <c r="A654" s="57">
        <v>12142005</v>
      </c>
      <c r="B654" s="58" t="s">
        <v>13044</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17523</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12819</v>
      </c>
    </row>
    <row r="674" spans="1:2" x14ac:dyDescent="0.25">
      <c r="A674" s="57">
        <v>12161505</v>
      </c>
      <c r="B674" s="58" t="s">
        <v>16328</v>
      </c>
    </row>
    <row r="675" spans="1:2" x14ac:dyDescent="0.25">
      <c r="A675" s="57">
        <v>12161506</v>
      </c>
      <c r="B675" s="58" t="s">
        <v>16463</v>
      </c>
    </row>
    <row r="676" spans="1:2" x14ac:dyDescent="0.25">
      <c r="A676" s="57">
        <v>12161507</v>
      </c>
      <c r="B676" s="58" t="s">
        <v>12732</v>
      </c>
    </row>
    <row r="677" spans="1:2" x14ac:dyDescent="0.25">
      <c r="A677" s="57">
        <v>12161601</v>
      </c>
      <c r="B677" s="58" t="s">
        <v>229</v>
      </c>
    </row>
    <row r="678" spans="1:2" x14ac:dyDescent="0.25">
      <c r="A678" s="57">
        <v>12161602</v>
      </c>
      <c r="B678" s="58" t="s">
        <v>7302</v>
      </c>
    </row>
    <row r="679" spans="1:2" x14ac:dyDescent="0.25">
      <c r="A679" s="57">
        <v>12161603</v>
      </c>
      <c r="B679" s="58" t="s">
        <v>13645</v>
      </c>
    </row>
    <row r="680" spans="1:2" x14ac:dyDescent="0.25">
      <c r="A680" s="57">
        <v>12161604</v>
      </c>
      <c r="B680" s="58" t="s">
        <v>12049</v>
      </c>
    </row>
    <row r="681" spans="1:2" x14ac:dyDescent="0.25">
      <c r="A681" s="57">
        <v>12161701</v>
      </c>
      <c r="B681" s="58" t="s">
        <v>5228</v>
      </c>
    </row>
    <row r="682" spans="1:2" x14ac:dyDescent="0.25">
      <c r="A682" s="57">
        <v>12161702</v>
      </c>
      <c r="B682" s="58" t="s">
        <v>5435</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9866</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12054</v>
      </c>
    </row>
    <row r="695" spans="1:2" x14ac:dyDescent="0.25">
      <c r="A695" s="57">
        <v>12161901</v>
      </c>
      <c r="B695" s="58" t="s">
        <v>17312</v>
      </c>
    </row>
    <row r="696" spans="1:2" x14ac:dyDescent="0.25">
      <c r="A696" s="57">
        <v>12161902</v>
      </c>
      <c r="B696" s="58" t="s">
        <v>5208</v>
      </c>
    </row>
    <row r="697" spans="1:2" x14ac:dyDescent="0.25">
      <c r="A697" s="57">
        <v>12161903</v>
      </c>
      <c r="B697" s="58" t="s">
        <v>8513</v>
      </c>
    </row>
    <row r="698" spans="1:2" x14ac:dyDescent="0.25">
      <c r="A698" s="57">
        <v>12161904</v>
      </c>
      <c r="B698" s="58" t="s">
        <v>17438</v>
      </c>
    </row>
    <row r="699" spans="1:2" x14ac:dyDescent="0.25">
      <c r="A699" s="57">
        <v>12161905</v>
      </c>
      <c r="B699" s="58" t="s">
        <v>13767</v>
      </c>
    </row>
    <row r="700" spans="1:2" x14ac:dyDescent="0.25">
      <c r="A700" s="57">
        <v>12161906</v>
      </c>
      <c r="B700" s="58" t="s">
        <v>12648</v>
      </c>
    </row>
    <row r="701" spans="1:2" x14ac:dyDescent="0.25">
      <c r="A701" s="57">
        <v>12161907</v>
      </c>
      <c r="B701" s="58" t="s">
        <v>10815</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11144</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11635</v>
      </c>
    </row>
    <row r="714" spans="1:2" x14ac:dyDescent="0.25">
      <c r="A714" s="57">
        <v>12162208</v>
      </c>
      <c r="B714" s="58" t="s">
        <v>14756</v>
      </c>
    </row>
    <row r="715" spans="1:2" x14ac:dyDescent="0.25">
      <c r="A715" s="57">
        <v>12162209</v>
      </c>
      <c r="B715" s="58" t="s">
        <v>7947</v>
      </c>
    </row>
    <row r="716" spans="1:2" x14ac:dyDescent="0.25">
      <c r="A716" s="57">
        <v>12162210</v>
      </c>
      <c r="B716" s="58" t="s">
        <v>13564</v>
      </c>
    </row>
    <row r="717" spans="1:2" x14ac:dyDescent="0.25">
      <c r="A717" s="57">
        <v>12162211</v>
      </c>
      <c r="B717" s="58" t="s">
        <v>3988</v>
      </c>
    </row>
    <row r="718" spans="1:2" x14ac:dyDescent="0.25">
      <c r="A718" s="57">
        <v>12162212</v>
      </c>
      <c r="B718" s="58" t="s">
        <v>6289</v>
      </c>
    </row>
    <row r="719" spans="1:2" x14ac:dyDescent="0.25">
      <c r="A719" s="57">
        <v>12162301</v>
      </c>
      <c r="B719" s="58" t="s">
        <v>15151</v>
      </c>
    </row>
    <row r="720" spans="1:2" x14ac:dyDescent="0.25">
      <c r="A720" s="57">
        <v>12162302</v>
      </c>
      <c r="B720" s="58" t="s">
        <v>6232</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13791</v>
      </c>
    </row>
    <row r="725" spans="1:2" x14ac:dyDescent="0.25">
      <c r="A725" s="57">
        <v>12162502</v>
      </c>
      <c r="B725" s="58" t="s">
        <v>10635</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18679</v>
      </c>
    </row>
    <row r="732" spans="1:2" x14ac:dyDescent="0.25">
      <c r="A732" s="57">
        <v>12162802</v>
      </c>
      <c r="B732" s="58" t="s">
        <v>17746</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6090</v>
      </c>
    </row>
    <row r="738" spans="1:2" x14ac:dyDescent="0.25">
      <c r="A738" s="57">
        <v>12163201</v>
      </c>
      <c r="B738" s="58" t="s">
        <v>3241</v>
      </c>
    </row>
    <row r="739" spans="1:2" x14ac:dyDescent="0.25">
      <c r="A739" s="57">
        <v>12163301</v>
      </c>
      <c r="B739" s="58" t="s">
        <v>4903</v>
      </c>
    </row>
    <row r="740" spans="1:2" x14ac:dyDescent="0.25">
      <c r="A740" s="57">
        <v>12163401</v>
      </c>
      <c r="B740" s="58" t="s">
        <v>9707</v>
      </c>
    </row>
    <row r="741" spans="1:2" x14ac:dyDescent="0.25">
      <c r="A741" s="57">
        <v>12163501</v>
      </c>
      <c r="B741" s="58" t="s">
        <v>7477</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13005</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12501</v>
      </c>
    </row>
    <row r="761" spans="1:2" x14ac:dyDescent="0.25">
      <c r="A761" s="57">
        <v>12171503</v>
      </c>
      <c r="B761" s="58" t="s">
        <v>5606</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5911</v>
      </c>
    </row>
    <row r="767" spans="1:2" x14ac:dyDescent="0.25">
      <c r="A767" s="57">
        <v>12171604</v>
      </c>
      <c r="B767" s="58" t="s">
        <v>4762</v>
      </c>
    </row>
    <row r="768" spans="1:2" x14ac:dyDescent="0.25">
      <c r="A768" s="57">
        <v>12171605</v>
      </c>
      <c r="B768" s="58" t="s">
        <v>7751</v>
      </c>
    </row>
    <row r="769" spans="1:2" x14ac:dyDescent="0.25">
      <c r="A769" s="57">
        <v>12171701</v>
      </c>
      <c r="B769" s="58" t="s">
        <v>14559</v>
      </c>
    </row>
    <row r="770" spans="1:2" x14ac:dyDescent="0.25">
      <c r="A770" s="57">
        <v>12171702</v>
      </c>
      <c r="B770" s="58" t="s">
        <v>17034</v>
      </c>
    </row>
    <row r="771" spans="1:2" x14ac:dyDescent="0.25">
      <c r="A771" s="57">
        <v>12171703</v>
      </c>
      <c r="B771" s="58" t="s">
        <v>14058</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6115</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6266</v>
      </c>
    </row>
    <row r="795" spans="1:2" x14ac:dyDescent="0.25">
      <c r="A795" s="57">
        <v>12352108</v>
      </c>
      <c r="B795" s="58" t="s">
        <v>12225</v>
      </c>
    </row>
    <row r="796" spans="1:2" x14ac:dyDescent="0.25">
      <c r="A796" s="57">
        <v>12352111</v>
      </c>
      <c r="B796" s="58" t="s">
        <v>8054</v>
      </c>
    </row>
    <row r="797" spans="1:2" x14ac:dyDescent="0.25">
      <c r="A797" s="57">
        <v>12352112</v>
      </c>
      <c r="B797" s="58" t="s">
        <v>12225</v>
      </c>
    </row>
    <row r="798" spans="1:2" x14ac:dyDescent="0.25">
      <c r="A798" s="57">
        <v>12352113</v>
      </c>
      <c r="B798" s="58" t="s">
        <v>18635</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11646</v>
      </c>
    </row>
    <row r="806" spans="1:2" x14ac:dyDescent="0.25">
      <c r="A806" s="57">
        <v>12352121</v>
      </c>
      <c r="B806" s="58" t="s">
        <v>10785</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11714</v>
      </c>
    </row>
    <row r="827" spans="1:2" x14ac:dyDescent="0.25">
      <c r="A827" s="57">
        <v>12352301</v>
      </c>
      <c r="B827" s="58" t="s">
        <v>4346</v>
      </c>
    </row>
    <row r="828" spans="1:2" x14ac:dyDescent="0.25">
      <c r="A828" s="57">
        <v>12352302</v>
      </c>
      <c r="B828" s="58" t="s">
        <v>7641</v>
      </c>
    </row>
    <row r="829" spans="1:2" x14ac:dyDescent="0.25">
      <c r="A829" s="57">
        <v>12352303</v>
      </c>
      <c r="B829" s="58" t="s">
        <v>18693</v>
      </c>
    </row>
    <row r="830" spans="1:2" x14ac:dyDescent="0.25">
      <c r="A830" s="57">
        <v>12352304</v>
      </c>
      <c r="B830" s="58" t="s">
        <v>694</v>
      </c>
    </row>
    <row r="831" spans="1:2" x14ac:dyDescent="0.25">
      <c r="A831" s="57">
        <v>12352305</v>
      </c>
      <c r="B831" s="58" t="s">
        <v>1120</v>
      </c>
    </row>
    <row r="832" spans="1:2" x14ac:dyDescent="0.25">
      <c r="A832" s="57">
        <v>12352306</v>
      </c>
      <c r="B832" s="58" t="s">
        <v>17216</v>
      </c>
    </row>
    <row r="833" spans="1:2" x14ac:dyDescent="0.25">
      <c r="A833" s="57">
        <v>12352307</v>
      </c>
      <c r="B833" s="58" t="s">
        <v>12568</v>
      </c>
    </row>
    <row r="834" spans="1:2" x14ac:dyDescent="0.25">
      <c r="A834" s="57">
        <v>12352308</v>
      </c>
      <c r="B834" s="58" t="s">
        <v>17224</v>
      </c>
    </row>
    <row r="835" spans="1:2" x14ac:dyDescent="0.25">
      <c r="A835" s="57">
        <v>12352309</v>
      </c>
      <c r="B835" s="58" t="s">
        <v>6893</v>
      </c>
    </row>
    <row r="836" spans="1:2" x14ac:dyDescent="0.25">
      <c r="A836" s="57">
        <v>12352310</v>
      </c>
      <c r="B836" s="58" t="s">
        <v>14604</v>
      </c>
    </row>
    <row r="837" spans="1:2" x14ac:dyDescent="0.25">
      <c r="A837" s="57">
        <v>12352311</v>
      </c>
      <c r="B837" s="58" t="s">
        <v>8976</v>
      </c>
    </row>
    <row r="838" spans="1:2" x14ac:dyDescent="0.25">
      <c r="A838" s="57">
        <v>12352312</v>
      </c>
      <c r="B838" s="58" t="s">
        <v>4789</v>
      </c>
    </row>
    <row r="839" spans="1:2" x14ac:dyDescent="0.25">
      <c r="A839" s="57">
        <v>12352401</v>
      </c>
      <c r="B839" s="58" t="s">
        <v>12641</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18141</v>
      </c>
    </row>
    <row r="858" spans="1:2" x14ac:dyDescent="0.25">
      <c r="A858" s="57">
        <v>13101703</v>
      </c>
      <c r="B858" s="58" t="s">
        <v>13158</v>
      </c>
    </row>
    <row r="859" spans="1:2" x14ac:dyDescent="0.25">
      <c r="A859" s="57">
        <v>13101704</v>
      </c>
      <c r="B859" s="58" t="s">
        <v>14942</v>
      </c>
    </row>
    <row r="860" spans="1:2" x14ac:dyDescent="0.25">
      <c r="A860" s="57">
        <v>13101705</v>
      </c>
      <c r="B860" s="58" t="s">
        <v>12699</v>
      </c>
    </row>
    <row r="861" spans="1:2" x14ac:dyDescent="0.25">
      <c r="A861" s="57">
        <v>13101706</v>
      </c>
      <c r="B861" s="58" t="s">
        <v>9280</v>
      </c>
    </row>
    <row r="862" spans="1:2" x14ac:dyDescent="0.25">
      <c r="A862" s="57">
        <v>13101707</v>
      </c>
      <c r="B862" s="58" t="s">
        <v>7033</v>
      </c>
    </row>
    <row r="863" spans="1:2" x14ac:dyDescent="0.25">
      <c r="A863" s="57">
        <v>13101708</v>
      </c>
      <c r="B863" s="58" t="s">
        <v>10898</v>
      </c>
    </row>
    <row r="864" spans="1:2" x14ac:dyDescent="0.25">
      <c r="A864" s="57">
        <v>13101709</v>
      </c>
      <c r="B864" s="58" t="s">
        <v>3817</v>
      </c>
    </row>
    <row r="865" spans="1:2" x14ac:dyDescent="0.25">
      <c r="A865" s="57">
        <v>13101710</v>
      </c>
      <c r="B865" s="58" t="s">
        <v>13336</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10149</v>
      </c>
    </row>
    <row r="874" spans="1:2" x14ac:dyDescent="0.25">
      <c r="A874" s="57">
        <v>13101719</v>
      </c>
      <c r="B874" s="58" t="s">
        <v>4134</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18529</v>
      </c>
    </row>
    <row r="882" spans="1:2" x14ac:dyDescent="0.25">
      <c r="A882" s="57">
        <v>13101904</v>
      </c>
      <c r="B882" s="58" t="s">
        <v>17566</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11747</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10072</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6024</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17308</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12646</v>
      </c>
    </row>
    <row r="919" spans="1:2" x14ac:dyDescent="0.25">
      <c r="A919" s="57">
        <v>13111006</v>
      </c>
      <c r="B919" s="58" t="s">
        <v>6954</v>
      </c>
    </row>
    <row r="920" spans="1:2" x14ac:dyDescent="0.25">
      <c r="A920" s="57">
        <v>13111007</v>
      </c>
      <c r="B920" s="58" t="s">
        <v>8337</v>
      </c>
    </row>
    <row r="921" spans="1:2" x14ac:dyDescent="0.25">
      <c r="A921" s="57">
        <v>13111008</v>
      </c>
      <c r="B921" s="58" t="s">
        <v>12391</v>
      </c>
    </row>
    <row r="922" spans="1:2" x14ac:dyDescent="0.25">
      <c r="A922" s="57">
        <v>13111009</v>
      </c>
      <c r="B922" s="58" t="s">
        <v>10318</v>
      </c>
    </row>
    <row r="923" spans="1:2" x14ac:dyDescent="0.25">
      <c r="A923" s="57">
        <v>13111010</v>
      </c>
      <c r="B923" s="58" t="s">
        <v>15415</v>
      </c>
    </row>
    <row r="924" spans="1:2" x14ac:dyDescent="0.25">
      <c r="A924" s="57">
        <v>13111011</v>
      </c>
      <c r="B924" s="58" t="s">
        <v>9101</v>
      </c>
    </row>
    <row r="925" spans="1:2" x14ac:dyDescent="0.25">
      <c r="A925" s="57">
        <v>13111012</v>
      </c>
      <c r="B925" s="58" t="s">
        <v>10709</v>
      </c>
    </row>
    <row r="926" spans="1:2" x14ac:dyDescent="0.25">
      <c r="A926" s="57">
        <v>13111013</v>
      </c>
      <c r="B926" s="58" t="s">
        <v>13591</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4287</v>
      </c>
    </row>
    <row r="934" spans="1:2" x14ac:dyDescent="0.25">
      <c r="A934" s="57">
        <v>13111021</v>
      </c>
      <c r="B934" s="58" t="s">
        <v>12510</v>
      </c>
    </row>
    <row r="935" spans="1:2" x14ac:dyDescent="0.25">
      <c r="A935" s="57">
        <v>13111022</v>
      </c>
      <c r="B935" s="58" t="s">
        <v>12651</v>
      </c>
    </row>
    <row r="936" spans="1:2" x14ac:dyDescent="0.25">
      <c r="A936" s="57">
        <v>13111023</v>
      </c>
      <c r="B936" s="58" t="s">
        <v>17235</v>
      </c>
    </row>
    <row r="937" spans="1:2" x14ac:dyDescent="0.25">
      <c r="A937" s="57">
        <v>13111024</v>
      </c>
      <c r="B937" s="58" t="s">
        <v>15067</v>
      </c>
    </row>
    <row r="938" spans="1:2" x14ac:dyDescent="0.25">
      <c r="A938" s="57">
        <v>13111025</v>
      </c>
      <c r="B938" s="58" t="s">
        <v>2812</v>
      </c>
    </row>
    <row r="939" spans="1:2" x14ac:dyDescent="0.25">
      <c r="A939" s="57">
        <v>13111026</v>
      </c>
      <c r="B939" s="58" t="s">
        <v>12946</v>
      </c>
    </row>
    <row r="940" spans="1:2" x14ac:dyDescent="0.25">
      <c r="A940" s="57">
        <v>13111027</v>
      </c>
      <c r="B940" s="58" t="s">
        <v>9209</v>
      </c>
    </row>
    <row r="941" spans="1:2" x14ac:dyDescent="0.25">
      <c r="A941" s="57">
        <v>13111028</v>
      </c>
      <c r="B941" s="58" t="s">
        <v>4016</v>
      </c>
    </row>
    <row r="942" spans="1:2" x14ac:dyDescent="0.25">
      <c r="A942" s="57">
        <v>13111029</v>
      </c>
      <c r="B942" s="58" t="s">
        <v>14476</v>
      </c>
    </row>
    <row r="943" spans="1:2" x14ac:dyDescent="0.25">
      <c r="A943" s="57">
        <v>13111030</v>
      </c>
      <c r="B943" s="58" t="s">
        <v>7999</v>
      </c>
    </row>
    <row r="944" spans="1:2" x14ac:dyDescent="0.25">
      <c r="A944" s="57">
        <v>13111031</v>
      </c>
      <c r="B944" s="58" t="s">
        <v>11632</v>
      </c>
    </row>
    <row r="945" spans="1:2" x14ac:dyDescent="0.25">
      <c r="A945" s="57">
        <v>13111032</v>
      </c>
      <c r="B945" s="58" t="s">
        <v>18333</v>
      </c>
    </row>
    <row r="946" spans="1:2" x14ac:dyDescent="0.25">
      <c r="A946" s="57">
        <v>13111033</v>
      </c>
      <c r="B946" s="58" t="s">
        <v>15410</v>
      </c>
    </row>
    <row r="947" spans="1:2" x14ac:dyDescent="0.25">
      <c r="A947" s="57">
        <v>13111034</v>
      </c>
      <c r="B947" s="58" t="s">
        <v>12129</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12191</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16068</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11683</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5879</v>
      </c>
    </row>
    <row r="983" spans="1:2" x14ac:dyDescent="0.25">
      <c r="A983" s="57">
        <v>13111201</v>
      </c>
      <c r="B983" s="58" t="s">
        <v>1188</v>
      </c>
    </row>
    <row r="984" spans="1:2" x14ac:dyDescent="0.25">
      <c r="A984" s="57">
        <v>13111202</v>
      </c>
      <c r="B984" s="58" t="s">
        <v>10370</v>
      </c>
    </row>
    <row r="985" spans="1:2" x14ac:dyDescent="0.25">
      <c r="A985" s="57">
        <v>13111203</v>
      </c>
      <c r="B985" s="58" t="s">
        <v>18719</v>
      </c>
    </row>
    <row r="986" spans="1:2" x14ac:dyDescent="0.25">
      <c r="A986" s="57">
        <v>13111204</v>
      </c>
      <c r="B986" s="58" t="s">
        <v>17430</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6045</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10114</v>
      </c>
    </row>
    <row r="1006" spans="1:2" x14ac:dyDescent="0.25">
      <c r="A1006" s="57">
        <v>13111304</v>
      </c>
      <c r="B1006" s="58" t="s">
        <v>7908</v>
      </c>
    </row>
    <row r="1007" spans="1:2" x14ac:dyDescent="0.25">
      <c r="A1007" s="57">
        <v>13111305</v>
      </c>
      <c r="B1007" s="58" t="s">
        <v>14408</v>
      </c>
    </row>
    <row r="1008" spans="1:2" x14ac:dyDescent="0.25">
      <c r="A1008" s="57">
        <v>13111306</v>
      </c>
      <c r="B1008" s="58" t="s">
        <v>18179</v>
      </c>
    </row>
    <row r="1009" spans="1:2" x14ac:dyDescent="0.25">
      <c r="A1009" s="57">
        <v>13111307</v>
      </c>
      <c r="B1009" s="58" t="s">
        <v>16238</v>
      </c>
    </row>
    <row r="1010" spans="1:2" x14ac:dyDescent="0.25">
      <c r="A1010" s="57">
        <v>13111308</v>
      </c>
      <c r="B1010" s="58" t="s">
        <v>13865</v>
      </c>
    </row>
    <row r="1011" spans="1:2" x14ac:dyDescent="0.25">
      <c r="A1011" s="57">
        <v>14101501</v>
      </c>
      <c r="B1011" s="58" t="s">
        <v>2987</v>
      </c>
    </row>
    <row r="1012" spans="1:2" x14ac:dyDescent="0.25">
      <c r="A1012" s="57">
        <v>14111501</v>
      </c>
      <c r="B1012" s="58" t="s">
        <v>18527</v>
      </c>
    </row>
    <row r="1013" spans="1:2" x14ac:dyDescent="0.25">
      <c r="A1013" s="57">
        <v>14111502</v>
      </c>
      <c r="B1013" s="58" t="s">
        <v>14288</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13272</v>
      </c>
    </row>
    <row r="1018" spans="1:2" x14ac:dyDescent="0.25">
      <c r="A1018" s="57">
        <v>14111507</v>
      </c>
      <c r="B1018" s="58" t="s">
        <v>13716</v>
      </c>
    </row>
    <row r="1019" spans="1:2" x14ac:dyDescent="0.25">
      <c r="A1019" s="57">
        <v>14111508</v>
      </c>
      <c r="B1019" s="58" t="s">
        <v>18166</v>
      </c>
    </row>
    <row r="1020" spans="1:2" x14ac:dyDescent="0.25">
      <c r="A1020" s="57">
        <v>14111509</v>
      </c>
      <c r="B1020" s="58" t="s">
        <v>3892</v>
      </c>
    </row>
    <row r="1021" spans="1:2" x14ac:dyDescent="0.25">
      <c r="A1021" s="57">
        <v>14111510</v>
      </c>
      <c r="B1021" s="58" t="s">
        <v>11291</v>
      </c>
    </row>
    <row r="1022" spans="1:2" x14ac:dyDescent="0.25">
      <c r="A1022" s="57">
        <v>14111511</v>
      </c>
      <c r="B1022" s="58" t="s">
        <v>9433</v>
      </c>
    </row>
    <row r="1023" spans="1:2" x14ac:dyDescent="0.25">
      <c r="A1023" s="57">
        <v>14111512</v>
      </c>
      <c r="B1023" s="58" t="s">
        <v>13196</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6175</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12806</v>
      </c>
    </row>
    <row r="1035" spans="1:2" x14ac:dyDescent="0.25">
      <c r="A1035" s="57">
        <v>14111527</v>
      </c>
      <c r="B1035" s="58" t="s">
        <v>10708</v>
      </c>
    </row>
    <row r="1036" spans="1:2" x14ac:dyDescent="0.25">
      <c r="A1036" s="57">
        <v>14111528</v>
      </c>
      <c r="B1036" s="58" t="s">
        <v>15169</v>
      </c>
    </row>
    <row r="1037" spans="1:2" x14ac:dyDescent="0.25">
      <c r="A1037" s="57">
        <v>14111529</v>
      </c>
      <c r="B1037" s="58" t="s">
        <v>6004</v>
      </c>
    </row>
    <row r="1038" spans="1:2" x14ac:dyDescent="0.25">
      <c r="A1038" s="57">
        <v>14111530</v>
      </c>
      <c r="B1038" s="58" t="s">
        <v>8632</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17812</v>
      </c>
    </row>
    <row r="1043" spans="1:2" x14ac:dyDescent="0.25">
      <c r="A1043" s="57">
        <v>14111535</v>
      </c>
      <c r="B1043" s="58" t="s">
        <v>18825</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11366</v>
      </c>
    </row>
    <row r="1049" spans="1:2" x14ac:dyDescent="0.25">
      <c r="A1049" s="57">
        <v>14111606</v>
      </c>
      <c r="B1049" s="58" t="s">
        <v>4097</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13059</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6309</v>
      </c>
    </row>
    <row r="1064" spans="1:2" x14ac:dyDescent="0.25">
      <c r="A1064" s="57">
        <v>14111706</v>
      </c>
      <c r="B1064" s="58" t="s">
        <v>14122</v>
      </c>
    </row>
    <row r="1065" spans="1:2" x14ac:dyDescent="0.25">
      <c r="A1065" s="57">
        <v>14111801</v>
      </c>
      <c r="B1065" s="58" t="s">
        <v>11533</v>
      </c>
    </row>
    <row r="1066" spans="1:2" x14ac:dyDescent="0.25">
      <c r="A1066" s="57">
        <v>14111802</v>
      </c>
      <c r="B1066" s="58" t="s">
        <v>5546</v>
      </c>
    </row>
    <row r="1067" spans="1:2" x14ac:dyDescent="0.25">
      <c r="A1067" s="57">
        <v>14111803</v>
      </c>
      <c r="B1067" s="58" t="s">
        <v>4055</v>
      </c>
    </row>
    <row r="1068" spans="1:2" x14ac:dyDescent="0.25">
      <c r="A1068" s="57">
        <v>14111804</v>
      </c>
      <c r="B1068" s="58" t="s">
        <v>6110</v>
      </c>
    </row>
    <row r="1069" spans="1:2" x14ac:dyDescent="0.25">
      <c r="A1069" s="57">
        <v>14111805</v>
      </c>
      <c r="B1069" s="58" t="s">
        <v>590</v>
      </c>
    </row>
    <row r="1070" spans="1:2" x14ac:dyDescent="0.25">
      <c r="A1070" s="57">
        <v>14111806</v>
      </c>
      <c r="B1070" s="58" t="s">
        <v>18037</v>
      </c>
    </row>
    <row r="1071" spans="1:2" x14ac:dyDescent="0.25">
      <c r="A1071" s="57">
        <v>14111807</v>
      </c>
      <c r="B1071" s="58" t="s">
        <v>12066</v>
      </c>
    </row>
    <row r="1072" spans="1:2" x14ac:dyDescent="0.25">
      <c r="A1072" s="57">
        <v>14111808</v>
      </c>
      <c r="B1072" s="58" t="s">
        <v>17412</v>
      </c>
    </row>
    <row r="1073" spans="1:2" x14ac:dyDescent="0.25">
      <c r="A1073" s="57">
        <v>14111809</v>
      </c>
      <c r="B1073" s="58" t="s">
        <v>14893</v>
      </c>
    </row>
    <row r="1074" spans="1:2" x14ac:dyDescent="0.25">
      <c r="A1074" s="57">
        <v>14111810</v>
      </c>
      <c r="B1074" s="58" t="s">
        <v>12369</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16417</v>
      </c>
    </row>
    <row r="1080" spans="1:2" x14ac:dyDescent="0.25">
      <c r="A1080" s="57">
        <v>14111816</v>
      </c>
      <c r="B1080" s="58" t="s">
        <v>14659</v>
      </c>
    </row>
    <row r="1081" spans="1:2" x14ac:dyDescent="0.25">
      <c r="A1081" s="57">
        <v>14111817</v>
      </c>
      <c r="B1081" s="58" t="s">
        <v>18214</v>
      </c>
    </row>
    <row r="1082" spans="1:2" x14ac:dyDescent="0.25">
      <c r="A1082" s="57">
        <v>14121501</v>
      </c>
      <c r="B1082" s="58" t="s">
        <v>13022</v>
      </c>
    </row>
    <row r="1083" spans="1:2" x14ac:dyDescent="0.25">
      <c r="A1083" s="57">
        <v>14121502</v>
      </c>
      <c r="B1083" s="58" t="s">
        <v>2346</v>
      </c>
    </row>
    <row r="1084" spans="1:2" x14ac:dyDescent="0.25">
      <c r="A1084" s="57">
        <v>14121503</v>
      </c>
      <c r="B1084" s="58" t="s">
        <v>8079</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14016</v>
      </c>
    </row>
    <row r="1094" spans="1:2" x14ac:dyDescent="0.25">
      <c r="A1094" s="57">
        <v>14121801</v>
      </c>
      <c r="B1094" s="58" t="s">
        <v>8131</v>
      </c>
    </row>
    <row r="1095" spans="1:2" x14ac:dyDescent="0.25">
      <c r="A1095" s="57">
        <v>14121802</v>
      </c>
      <c r="B1095" s="58" t="s">
        <v>9177</v>
      </c>
    </row>
    <row r="1096" spans="1:2" x14ac:dyDescent="0.25">
      <c r="A1096" s="57">
        <v>14121803</v>
      </c>
      <c r="B1096" s="58" t="s">
        <v>18084</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17243</v>
      </c>
    </row>
    <row r="1105" spans="1:2" x14ac:dyDescent="0.25">
      <c r="A1105" s="57">
        <v>14121812</v>
      </c>
      <c r="B1105" s="58" t="s">
        <v>4042</v>
      </c>
    </row>
    <row r="1106" spans="1:2" x14ac:dyDescent="0.25">
      <c r="A1106" s="57">
        <v>14121901</v>
      </c>
      <c r="B1106" s="58" t="s">
        <v>17634</v>
      </c>
    </row>
    <row r="1107" spans="1:2" x14ac:dyDescent="0.25">
      <c r="A1107" s="57">
        <v>14121902</v>
      </c>
      <c r="B1107" s="58" t="s">
        <v>2960</v>
      </c>
    </row>
    <row r="1108" spans="1:2" x14ac:dyDescent="0.25">
      <c r="A1108" s="57">
        <v>14121903</v>
      </c>
      <c r="B1108" s="58" t="s">
        <v>320</v>
      </c>
    </row>
    <row r="1109" spans="1:2" x14ac:dyDescent="0.25">
      <c r="A1109" s="57">
        <v>14121904</v>
      </c>
      <c r="B1109" s="58" t="s">
        <v>14424</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12683</v>
      </c>
    </row>
    <row r="1124" spans="1:2" x14ac:dyDescent="0.25">
      <c r="A1124" s="57">
        <v>15101508</v>
      </c>
      <c r="B1124" s="58" t="s">
        <v>13261</v>
      </c>
    </row>
    <row r="1125" spans="1:2" x14ac:dyDescent="0.25">
      <c r="A1125" s="57">
        <v>15101509</v>
      </c>
      <c r="B1125" s="58" t="s">
        <v>16131</v>
      </c>
    </row>
    <row r="1126" spans="1:2" x14ac:dyDescent="0.25">
      <c r="A1126" s="57">
        <v>15101510</v>
      </c>
      <c r="B1126" s="58" t="s">
        <v>17553</v>
      </c>
    </row>
    <row r="1127" spans="1:2" x14ac:dyDescent="0.25">
      <c r="A1127" s="57">
        <v>15101601</v>
      </c>
      <c r="B1127" s="58" t="s">
        <v>7133</v>
      </c>
    </row>
    <row r="1128" spans="1:2" x14ac:dyDescent="0.25">
      <c r="A1128" s="57">
        <v>15101602</v>
      </c>
      <c r="B1128" s="58" t="s">
        <v>12733</v>
      </c>
    </row>
    <row r="1129" spans="1:2" x14ac:dyDescent="0.25">
      <c r="A1129" s="57">
        <v>15101603</v>
      </c>
      <c r="B1129" s="58" t="s">
        <v>17845</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9230</v>
      </c>
    </row>
    <row r="1134" spans="1:2" x14ac:dyDescent="0.25">
      <c r="A1134" s="57">
        <v>15101608</v>
      </c>
      <c r="B1134" s="58" t="s">
        <v>14702</v>
      </c>
    </row>
    <row r="1135" spans="1:2" x14ac:dyDescent="0.25">
      <c r="A1135" s="57">
        <v>15101701</v>
      </c>
      <c r="B1135" s="58" t="s">
        <v>6775</v>
      </c>
    </row>
    <row r="1136" spans="1:2" x14ac:dyDescent="0.25">
      <c r="A1136" s="57">
        <v>15101702</v>
      </c>
      <c r="B1136" s="58" t="s">
        <v>17277</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10407</v>
      </c>
    </row>
    <row r="1142" spans="1:2" x14ac:dyDescent="0.25">
      <c r="A1142" s="57">
        <v>15111506</v>
      </c>
      <c r="B1142" s="58" t="s">
        <v>18209</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13130</v>
      </c>
    </row>
    <row r="1149" spans="1:2" x14ac:dyDescent="0.25">
      <c r="A1149" s="57">
        <v>15121501</v>
      </c>
      <c r="B1149" s="58" t="s">
        <v>9043</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5905</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11101</v>
      </c>
    </row>
    <row r="1163" spans="1:2" x14ac:dyDescent="0.25">
      <c r="A1163" s="57">
        <v>15121517</v>
      </c>
      <c r="B1163" s="58" t="s">
        <v>13294</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17441</v>
      </c>
    </row>
    <row r="1173" spans="1:2" x14ac:dyDescent="0.25">
      <c r="A1173" s="57">
        <v>15121527</v>
      </c>
      <c r="B1173" s="58" t="s">
        <v>16979</v>
      </c>
    </row>
    <row r="1174" spans="1:2" x14ac:dyDescent="0.25">
      <c r="A1174" s="57">
        <v>15121801</v>
      </c>
      <c r="B1174" s="58" t="s">
        <v>2109</v>
      </c>
    </row>
    <row r="1175" spans="1:2" x14ac:dyDescent="0.25">
      <c r="A1175" s="57">
        <v>15121802</v>
      </c>
      <c r="B1175" s="58" t="s">
        <v>6000</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11005</v>
      </c>
    </row>
    <row r="1187" spans="1:2" x14ac:dyDescent="0.25">
      <c r="A1187" s="57">
        <v>15131505</v>
      </c>
      <c r="B1187" s="58" t="s">
        <v>15621</v>
      </c>
    </row>
    <row r="1188" spans="1:2" x14ac:dyDescent="0.25">
      <c r="A1188" s="57">
        <v>15131506</v>
      </c>
      <c r="B1188" s="58" t="s">
        <v>17895</v>
      </c>
    </row>
    <row r="1189" spans="1:2" x14ac:dyDescent="0.25">
      <c r="A1189" s="57">
        <v>15131601</v>
      </c>
      <c r="B1189" s="58" t="s">
        <v>12911</v>
      </c>
    </row>
    <row r="1190" spans="1:2" x14ac:dyDescent="0.25">
      <c r="A1190" s="57">
        <v>20101501</v>
      </c>
      <c r="B1190" s="58" t="s">
        <v>15954</v>
      </c>
    </row>
    <row r="1191" spans="1:2" x14ac:dyDescent="0.25">
      <c r="A1191" s="57">
        <v>20101502</v>
      </c>
      <c r="B1191" s="58" t="s">
        <v>7354</v>
      </c>
    </row>
    <row r="1192" spans="1:2" x14ac:dyDescent="0.25">
      <c r="A1192" s="57">
        <v>20101503</v>
      </c>
      <c r="B1192" s="58" t="s">
        <v>9711</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18797</v>
      </c>
    </row>
    <row r="1198" spans="1:2" x14ac:dyDescent="0.25">
      <c r="A1198" s="57">
        <v>20101702</v>
      </c>
      <c r="B1198" s="58" t="s">
        <v>5715</v>
      </c>
    </row>
    <row r="1199" spans="1:2" x14ac:dyDescent="0.25">
      <c r="A1199" s="57">
        <v>20101703</v>
      </c>
      <c r="B1199" s="58" t="s">
        <v>18028</v>
      </c>
    </row>
    <row r="1200" spans="1:2" x14ac:dyDescent="0.25">
      <c r="A1200" s="57">
        <v>20101704</v>
      </c>
      <c r="B1200" s="58" t="s">
        <v>17391</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7575</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17835</v>
      </c>
    </row>
    <row r="1211" spans="1:2" x14ac:dyDescent="0.25">
      <c r="A1211" s="57">
        <v>20101801</v>
      </c>
      <c r="B1211" s="58" t="s">
        <v>14420</v>
      </c>
    </row>
    <row r="1212" spans="1:2" x14ac:dyDescent="0.25">
      <c r="A1212" s="57">
        <v>20101802</v>
      </c>
      <c r="B1212" s="58" t="s">
        <v>18085</v>
      </c>
    </row>
    <row r="1213" spans="1:2" x14ac:dyDescent="0.25">
      <c r="A1213" s="57">
        <v>20101803</v>
      </c>
      <c r="B1213" s="58" t="s">
        <v>5000</v>
      </c>
    </row>
    <row r="1214" spans="1:2" x14ac:dyDescent="0.25">
      <c r="A1214" s="57">
        <v>20101804</v>
      </c>
      <c r="B1214" s="58" t="s">
        <v>4242</v>
      </c>
    </row>
    <row r="1215" spans="1:2" x14ac:dyDescent="0.25">
      <c r="A1215" s="57">
        <v>20101805</v>
      </c>
      <c r="B1215" s="58" t="s">
        <v>10292</v>
      </c>
    </row>
    <row r="1216" spans="1:2" x14ac:dyDescent="0.25">
      <c r="A1216" s="57">
        <v>20101901</v>
      </c>
      <c r="B1216" s="58" t="s">
        <v>4517</v>
      </c>
    </row>
    <row r="1217" spans="1:2" x14ac:dyDescent="0.25">
      <c r="A1217" s="57">
        <v>20101902</v>
      </c>
      <c r="B1217" s="58" t="s">
        <v>14579</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9619</v>
      </c>
    </row>
    <row r="1224" spans="1:2" x14ac:dyDescent="0.25">
      <c r="A1224" s="57">
        <v>20102006</v>
      </c>
      <c r="B1224" s="58" t="s">
        <v>17982</v>
      </c>
    </row>
    <row r="1225" spans="1:2" x14ac:dyDescent="0.25">
      <c r="A1225" s="57">
        <v>20102007</v>
      </c>
      <c r="B1225" s="58" t="s">
        <v>3179</v>
      </c>
    </row>
    <row r="1226" spans="1:2" x14ac:dyDescent="0.25">
      <c r="A1226" s="57">
        <v>20102008</v>
      </c>
      <c r="B1226" s="58" t="s">
        <v>10274</v>
      </c>
    </row>
    <row r="1227" spans="1:2" x14ac:dyDescent="0.25">
      <c r="A1227" s="57">
        <v>20102101</v>
      </c>
      <c r="B1227" s="58" t="s">
        <v>15815</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16759</v>
      </c>
    </row>
    <row r="1235" spans="1:2" x14ac:dyDescent="0.25">
      <c r="A1235" s="57">
        <v>20102302</v>
      </c>
      <c r="B1235" s="58" t="s">
        <v>9351</v>
      </c>
    </row>
    <row r="1236" spans="1:2" x14ac:dyDescent="0.25">
      <c r="A1236" s="57">
        <v>20102303</v>
      </c>
      <c r="B1236" s="58" t="s">
        <v>9787</v>
      </c>
    </row>
    <row r="1237" spans="1:2" x14ac:dyDescent="0.25">
      <c r="A1237" s="57">
        <v>20102304</v>
      </c>
      <c r="B1237" s="58" t="s">
        <v>14580</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5842</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11017</v>
      </c>
    </row>
    <row r="1250" spans="1:2" x14ac:dyDescent="0.25">
      <c r="A1250" s="57">
        <v>20111609</v>
      </c>
      <c r="B1250" s="58" t="s">
        <v>17455</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7059</v>
      </c>
    </row>
    <row r="1259" spans="1:2" x14ac:dyDescent="0.25">
      <c r="A1259" s="57">
        <v>20111618</v>
      </c>
      <c r="B1259" s="58" t="s">
        <v>1488</v>
      </c>
    </row>
    <row r="1260" spans="1:2" x14ac:dyDescent="0.25">
      <c r="A1260" s="57">
        <v>20111619</v>
      </c>
      <c r="B1260" s="58" t="s">
        <v>13043</v>
      </c>
    </row>
    <row r="1261" spans="1:2" x14ac:dyDescent="0.25">
      <c r="A1261" s="57">
        <v>20111701</v>
      </c>
      <c r="B1261" s="58" t="s">
        <v>6619</v>
      </c>
    </row>
    <row r="1262" spans="1:2" x14ac:dyDescent="0.25">
      <c r="A1262" s="57">
        <v>20111702</v>
      </c>
      <c r="B1262" s="58" t="s">
        <v>12990</v>
      </c>
    </row>
    <row r="1263" spans="1:2" x14ac:dyDescent="0.25">
      <c r="A1263" s="57">
        <v>20111703</v>
      </c>
      <c r="B1263" s="58" t="s">
        <v>3767</v>
      </c>
    </row>
    <row r="1264" spans="1:2" x14ac:dyDescent="0.25">
      <c r="A1264" s="57">
        <v>20111704</v>
      </c>
      <c r="B1264" s="58" t="s">
        <v>13981</v>
      </c>
    </row>
    <row r="1265" spans="1:2" x14ac:dyDescent="0.25">
      <c r="A1265" s="57">
        <v>20111705</v>
      </c>
      <c r="B1265" s="58" t="s">
        <v>8615</v>
      </c>
    </row>
    <row r="1266" spans="1:2" x14ac:dyDescent="0.25">
      <c r="A1266" s="57">
        <v>20111706</v>
      </c>
      <c r="B1266" s="58" t="s">
        <v>1839</v>
      </c>
    </row>
    <row r="1267" spans="1:2" x14ac:dyDescent="0.25">
      <c r="A1267" s="57">
        <v>20111707</v>
      </c>
      <c r="B1267" s="58" t="s">
        <v>11611</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17843</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17776</v>
      </c>
    </row>
    <row r="1278" spans="1:2" x14ac:dyDescent="0.25">
      <c r="A1278" s="57">
        <v>20121009</v>
      </c>
      <c r="B1278" s="58" t="s">
        <v>11457</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17731</v>
      </c>
    </row>
    <row r="1283" spans="1:2" x14ac:dyDescent="0.25">
      <c r="A1283" s="57">
        <v>20121014</v>
      </c>
      <c r="B1283" s="58" t="s">
        <v>817</v>
      </c>
    </row>
    <row r="1284" spans="1:2" x14ac:dyDescent="0.25">
      <c r="A1284" s="57">
        <v>20121015</v>
      </c>
      <c r="B1284" s="58" t="s">
        <v>7658</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17716</v>
      </c>
    </row>
    <row r="1303" spans="1:2" x14ac:dyDescent="0.25">
      <c r="A1303" s="57">
        <v>20121118</v>
      </c>
      <c r="B1303" s="58" t="s">
        <v>13841</v>
      </c>
    </row>
    <row r="1304" spans="1:2" x14ac:dyDescent="0.25">
      <c r="A1304" s="57">
        <v>20121119</v>
      </c>
      <c r="B1304" s="58" t="s">
        <v>16337</v>
      </c>
    </row>
    <row r="1305" spans="1:2" x14ac:dyDescent="0.25">
      <c r="A1305" s="57">
        <v>20121201</v>
      </c>
      <c r="B1305" s="58" t="s">
        <v>3657</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14675</v>
      </c>
    </row>
    <row r="1322" spans="1:2" x14ac:dyDescent="0.25">
      <c r="A1322" s="57">
        <v>20121305</v>
      </c>
      <c r="B1322" s="58" t="s">
        <v>7921</v>
      </c>
    </row>
    <row r="1323" spans="1:2" x14ac:dyDescent="0.25">
      <c r="A1323" s="57">
        <v>20121306</v>
      </c>
      <c r="B1323" s="58" t="s">
        <v>11757</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17603</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17640</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12858</v>
      </c>
    </row>
    <row r="1347" spans="1:2" x14ac:dyDescent="0.25">
      <c r="A1347" s="57">
        <v>20121407</v>
      </c>
      <c r="B1347" s="58" t="s">
        <v>18231</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3615</v>
      </c>
    </row>
    <row r="1372" spans="1:2" x14ac:dyDescent="0.25">
      <c r="A1372" s="57">
        <v>20121503</v>
      </c>
      <c r="B1372" s="58" t="s">
        <v>17531</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13019</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9587</v>
      </c>
    </row>
    <row r="1385" spans="1:2" x14ac:dyDescent="0.25">
      <c r="A1385" s="57">
        <v>20121516</v>
      </c>
      <c r="B1385" s="58" t="s">
        <v>9749</v>
      </c>
    </row>
    <row r="1386" spans="1:2" x14ac:dyDescent="0.25">
      <c r="A1386" s="57">
        <v>20121601</v>
      </c>
      <c r="B1386" s="58" t="s">
        <v>6402</v>
      </c>
    </row>
    <row r="1387" spans="1:2" x14ac:dyDescent="0.25">
      <c r="A1387" s="57">
        <v>20121602</v>
      </c>
      <c r="B1387" s="58" t="s">
        <v>4835</v>
      </c>
    </row>
    <row r="1388" spans="1:2" x14ac:dyDescent="0.25">
      <c r="A1388" s="57">
        <v>20121603</v>
      </c>
      <c r="B1388" s="58" t="s">
        <v>14495</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13819</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13997</v>
      </c>
    </row>
    <row r="1404" spans="1:2" x14ac:dyDescent="0.25">
      <c r="A1404" s="57">
        <v>20121804</v>
      </c>
      <c r="B1404" s="58" t="s">
        <v>383</v>
      </c>
    </row>
    <row r="1405" spans="1:2" x14ac:dyDescent="0.25">
      <c r="A1405" s="57">
        <v>20121805</v>
      </c>
      <c r="B1405" s="58" t="s">
        <v>11637</v>
      </c>
    </row>
    <row r="1406" spans="1:2" x14ac:dyDescent="0.25">
      <c r="A1406" s="57">
        <v>20121901</v>
      </c>
      <c r="B1406" s="58" t="s">
        <v>18427</v>
      </c>
    </row>
    <row r="1407" spans="1:2" x14ac:dyDescent="0.25">
      <c r="A1407" s="57">
        <v>20121902</v>
      </c>
      <c r="B1407" s="58" t="s">
        <v>5913</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12210</v>
      </c>
    </row>
    <row r="1414" spans="1:2" x14ac:dyDescent="0.25">
      <c r="A1414" s="57">
        <v>20121909</v>
      </c>
      <c r="B1414" s="58" t="s">
        <v>13616</v>
      </c>
    </row>
    <row r="1415" spans="1:2" x14ac:dyDescent="0.25">
      <c r="A1415" s="57">
        <v>20121910</v>
      </c>
      <c r="B1415" s="58" t="s">
        <v>12137</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7917</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17491</v>
      </c>
    </row>
    <row r="1441" spans="1:2" x14ac:dyDescent="0.25">
      <c r="A1441" s="57">
        <v>20122201</v>
      </c>
      <c r="B1441" s="58" t="s">
        <v>2169</v>
      </c>
    </row>
    <row r="1442" spans="1:2" x14ac:dyDescent="0.25">
      <c r="A1442" s="57">
        <v>20122202</v>
      </c>
      <c r="B1442" s="58" t="s">
        <v>5921</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13586</v>
      </c>
    </row>
    <row r="1451" spans="1:2" x14ac:dyDescent="0.25">
      <c r="A1451" s="57">
        <v>20122211</v>
      </c>
      <c r="B1451" s="58" t="s">
        <v>6152</v>
      </c>
    </row>
    <row r="1452" spans="1:2" x14ac:dyDescent="0.25">
      <c r="A1452" s="57">
        <v>20122212</v>
      </c>
      <c r="B1452" s="58" t="s">
        <v>8531</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8664</v>
      </c>
    </row>
    <row r="1457" spans="1:2" x14ac:dyDescent="0.25">
      <c r="A1457" s="57">
        <v>20122301</v>
      </c>
      <c r="B1457" s="58" t="s">
        <v>10796</v>
      </c>
    </row>
    <row r="1458" spans="1:2" x14ac:dyDescent="0.25">
      <c r="A1458" s="57">
        <v>20122302</v>
      </c>
      <c r="B1458" s="58" t="s">
        <v>18340</v>
      </c>
    </row>
    <row r="1459" spans="1:2" x14ac:dyDescent="0.25">
      <c r="A1459" s="57">
        <v>20122303</v>
      </c>
      <c r="B1459" s="58" t="s">
        <v>13515</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14560</v>
      </c>
    </row>
    <row r="1471" spans="1:2" x14ac:dyDescent="0.25">
      <c r="A1471" s="57">
        <v>20122315</v>
      </c>
      <c r="B1471" s="58" t="s">
        <v>9693</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17635</v>
      </c>
    </row>
    <row r="1483" spans="1:2" x14ac:dyDescent="0.25">
      <c r="A1483" s="57">
        <v>20122327</v>
      </c>
      <c r="B1483" s="58" t="s">
        <v>17769</v>
      </c>
    </row>
    <row r="1484" spans="1:2" x14ac:dyDescent="0.25">
      <c r="A1484" s="57">
        <v>20122328</v>
      </c>
      <c r="B1484" s="58" t="s">
        <v>8690</v>
      </c>
    </row>
    <row r="1485" spans="1:2" x14ac:dyDescent="0.25">
      <c r="A1485" s="57">
        <v>20122329</v>
      </c>
      <c r="B1485" s="58" t="s">
        <v>13921</v>
      </c>
    </row>
    <row r="1486" spans="1:2" x14ac:dyDescent="0.25">
      <c r="A1486" s="57">
        <v>20122330</v>
      </c>
      <c r="B1486" s="58" t="s">
        <v>17213</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17338</v>
      </c>
    </row>
    <row r="1497" spans="1:2" x14ac:dyDescent="0.25">
      <c r="A1497" s="57">
        <v>20122342</v>
      </c>
      <c r="B1497" s="58" t="s">
        <v>9028</v>
      </c>
    </row>
    <row r="1498" spans="1:2" x14ac:dyDescent="0.25">
      <c r="A1498" s="57">
        <v>20122343</v>
      </c>
      <c r="B1498" s="58" t="s">
        <v>12256</v>
      </c>
    </row>
    <row r="1499" spans="1:2" x14ac:dyDescent="0.25">
      <c r="A1499" s="57">
        <v>20122344</v>
      </c>
      <c r="B1499" s="58" t="s">
        <v>5600</v>
      </c>
    </row>
    <row r="1500" spans="1:2" x14ac:dyDescent="0.25">
      <c r="A1500" s="57">
        <v>20122345</v>
      </c>
      <c r="B1500" s="58" t="s">
        <v>15573</v>
      </c>
    </row>
    <row r="1501" spans="1:2" x14ac:dyDescent="0.25">
      <c r="A1501" s="57">
        <v>20122346</v>
      </c>
      <c r="B1501" s="58" t="s">
        <v>11860</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17331</v>
      </c>
    </row>
    <row r="1507" spans="1:2" x14ac:dyDescent="0.25">
      <c r="A1507" s="57">
        <v>20122352</v>
      </c>
      <c r="B1507" s="58" t="s">
        <v>7776</v>
      </c>
    </row>
    <row r="1508" spans="1:2" x14ac:dyDescent="0.25">
      <c r="A1508" s="57">
        <v>20122353</v>
      </c>
      <c r="B1508" s="58" t="s">
        <v>4394</v>
      </c>
    </row>
    <row r="1509" spans="1:2" x14ac:dyDescent="0.25">
      <c r="A1509" s="57">
        <v>20122354</v>
      </c>
      <c r="B1509" s="58" t="s">
        <v>10542</v>
      </c>
    </row>
    <row r="1510" spans="1:2" x14ac:dyDescent="0.25">
      <c r="A1510" s="57">
        <v>20122356</v>
      </c>
      <c r="B1510" s="58" t="s">
        <v>9767</v>
      </c>
    </row>
    <row r="1511" spans="1:2" x14ac:dyDescent="0.25">
      <c r="A1511" s="57">
        <v>20122357</v>
      </c>
      <c r="B1511" s="58" t="s">
        <v>6043</v>
      </c>
    </row>
    <row r="1512" spans="1:2" x14ac:dyDescent="0.25">
      <c r="A1512" s="57">
        <v>20122401</v>
      </c>
      <c r="B1512" s="58" t="s">
        <v>13825</v>
      </c>
    </row>
    <row r="1513" spans="1:2" x14ac:dyDescent="0.25">
      <c r="A1513" s="57">
        <v>20122402</v>
      </c>
      <c r="B1513" s="58" t="s">
        <v>1291</v>
      </c>
    </row>
    <row r="1514" spans="1:2" x14ac:dyDescent="0.25">
      <c r="A1514" s="57">
        <v>20122403</v>
      </c>
      <c r="B1514" s="58" t="s">
        <v>18430</v>
      </c>
    </row>
    <row r="1515" spans="1:2" x14ac:dyDescent="0.25">
      <c r="A1515" s="57">
        <v>20122404</v>
      </c>
      <c r="B1515" s="58" t="s">
        <v>12395</v>
      </c>
    </row>
    <row r="1516" spans="1:2" x14ac:dyDescent="0.25">
      <c r="A1516" s="57">
        <v>20122405</v>
      </c>
      <c r="B1516" s="58" t="s">
        <v>563</v>
      </c>
    </row>
    <row r="1517" spans="1:2" x14ac:dyDescent="0.25">
      <c r="A1517" s="57">
        <v>20122406</v>
      </c>
      <c r="B1517" s="58" t="s">
        <v>8809</v>
      </c>
    </row>
    <row r="1518" spans="1:2" x14ac:dyDescent="0.25">
      <c r="A1518" s="57">
        <v>20122407</v>
      </c>
      <c r="B1518" s="58" t="s">
        <v>10876</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6136</v>
      </c>
    </row>
    <row r="1524" spans="1:2" x14ac:dyDescent="0.25">
      <c r="A1524" s="57">
        <v>20122503</v>
      </c>
      <c r="B1524" s="58" t="s">
        <v>3914</v>
      </c>
    </row>
    <row r="1525" spans="1:2" x14ac:dyDescent="0.25">
      <c r="A1525" s="57">
        <v>20122504</v>
      </c>
      <c r="B1525" s="58" t="s">
        <v>7183</v>
      </c>
    </row>
    <row r="1526" spans="1:2" x14ac:dyDescent="0.25">
      <c r="A1526" s="57">
        <v>20122505</v>
      </c>
      <c r="B1526" s="58" t="s">
        <v>10454</v>
      </c>
    </row>
    <row r="1527" spans="1:2" x14ac:dyDescent="0.25">
      <c r="A1527" s="57">
        <v>20122506</v>
      </c>
      <c r="B1527" s="58" t="s">
        <v>4067</v>
      </c>
    </row>
    <row r="1528" spans="1:2" x14ac:dyDescent="0.25">
      <c r="A1528" s="57">
        <v>20122507</v>
      </c>
      <c r="B1528" s="58" t="s">
        <v>14170</v>
      </c>
    </row>
    <row r="1529" spans="1:2" x14ac:dyDescent="0.25">
      <c r="A1529" s="57">
        <v>20122508</v>
      </c>
      <c r="B1529" s="58" t="s">
        <v>6196</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6293</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14741</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10147</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11181</v>
      </c>
    </row>
    <row r="1553" spans="1:2" x14ac:dyDescent="0.25">
      <c r="A1553" s="57">
        <v>20122617</v>
      </c>
      <c r="B1553" s="58" t="s">
        <v>5471</v>
      </c>
    </row>
    <row r="1554" spans="1:2" x14ac:dyDescent="0.25">
      <c r="A1554" s="57">
        <v>20122618</v>
      </c>
      <c r="B1554" s="58" t="s">
        <v>12029</v>
      </c>
    </row>
    <row r="1555" spans="1:2" x14ac:dyDescent="0.25">
      <c r="A1555" s="57">
        <v>20122619</v>
      </c>
      <c r="B1555" s="58" t="s">
        <v>16806</v>
      </c>
    </row>
    <row r="1556" spans="1:2" x14ac:dyDescent="0.25">
      <c r="A1556" s="57">
        <v>20122620</v>
      </c>
      <c r="B1556" s="58" t="s">
        <v>12404</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17261</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6009</v>
      </c>
    </row>
    <row r="1574" spans="1:2" x14ac:dyDescent="0.25">
      <c r="A1574" s="57">
        <v>20122807</v>
      </c>
      <c r="B1574" s="58" t="s">
        <v>2856</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8106</v>
      </c>
    </row>
    <row r="1579" spans="1:2" x14ac:dyDescent="0.25">
      <c r="A1579" s="57">
        <v>20122812</v>
      </c>
      <c r="B1579" s="58" t="s">
        <v>11469</v>
      </c>
    </row>
    <row r="1580" spans="1:2" x14ac:dyDescent="0.25">
      <c r="A1580" s="57">
        <v>20122813</v>
      </c>
      <c r="B1580" s="58" t="s">
        <v>5984</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5864</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17666</v>
      </c>
    </row>
    <row r="1603" spans="1:2" x14ac:dyDescent="0.25">
      <c r="A1603" s="57">
        <v>20122836</v>
      </c>
      <c r="B1603" s="58" t="s">
        <v>3909</v>
      </c>
    </row>
    <row r="1604" spans="1:2" x14ac:dyDescent="0.25">
      <c r="A1604" s="57">
        <v>20122837</v>
      </c>
      <c r="B1604" s="58" t="s">
        <v>12781</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5910</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13792</v>
      </c>
    </row>
    <row r="1618" spans="1:2" x14ac:dyDescent="0.25">
      <c r="A1618" s="57">
        <v>20131002</v>
      </c>
      <c r="B1618" s="58" t="s">
        <v>18713</v>
      </c>
    </row>
    <row r="1619" spans="1:2" x14ac:dyDescent="0.25">
      <c r="A1619" s="57">
        <v>20131003</v>
      </c>
      <c r="B1619" s="58" t="s">
        <v>17750</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11754</v>
      </c>
    </row>
    <row r="1646" spans="1:2" x14ac:dyDescent="0.25">
      <c r="A1646" s="57">
        <v>20141004</v>
      </c>
      <c r="B1646" s="58" t="s">
        <v>5654</v>
      </c>
    </row>
    <row r="1647" spans="1:2" x14ac:dyDescent="0.25">
      <c r="A1647" s="57">
        <v>20141005</v>
      </c>
      <c r="B1647" s="58" t="s">
        <v>7498</v>
      </c>
    </row>
    <row r="1648" spans="1:2" x14ac:dyDescent="0.25">
      <c r="A1648" s="57">
        <v>20141006</v>
      </c>
      <c r="B1648" s="58" t="s">
        <v>10622</v>
      </c>
    </row>
    <row r="1649" spans="1:2" x14ac:dyDescent="0.25">
      <c r="A1649" s="57">
        <v>20141007</v>
      </c>
      <c r="B1649" s="58" t="s">
        <v>6219</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12850</v>
      </c>
    </row>
    <row r="1657" spans="1:2" x14ac:dyDescent="0.25">
      <c r="A1657" s="57">
        <v>20141201</v>
      </c>
      <c r="B1657" s="58" t="s">
        <v>18795</v>
      </c>
    </row>
    <row r="1658" spans="1:2" x14ac:dyDescent="0.25">
      <c r="A1658" s="57">
        <v>20141301</v>
      </c>
      <c r="B1658" s="58" t="s">
        <v>189</v>
      </c>
    </row>
    <row r="1659" spans="1:2" x14ac:dyDescent="0.25">
      <c r="A1659" s="57">
        <v>20141401</v>
      </c>
      <c r="B1659" s="58" t="s">
        <v>14097</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11136</v>
      </c>
    </row>
    <row r="1672" spans="1:2" x14ac:dyDescent="0.25">
      <c r="A1672" s="57">
        <v>20142301</v>
      </c>
      <c r="B1672" s="58" t="s">
        <v>17618</v>
      </c>
    </row>
    <row r="1673" spans="1:2" x14ac:dyDescent="0.25">
      <c r="A1673" s="57">
        <v>20142401</v>
      </c>
      <c r="B1673" s="58" t="s">
        <v>11958</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14005</v>
      </c>
    </row>
    <row r="1681" spans="1:2" x14ac:dyDescent="0.25">
      <c r="A1681" s="57">
        <v>20142702</v>
      </c>
      <c r="B1681" s="58" t="s">
        <v>10225</v>
      </c>
    </row>
    <row r="1682" spans="1:2" x14ac:dyDescent="0.25">
      <c r="A1682" s="57">
        <v>20142703</v>
      </c>
      <c r="B1682" s="58" t="s">
        <v>3249</v>
      </c>
    </row>
    <row r="1683" spans="1:2" x14ac:dyDescent="0.25">
      <c r="A1683" s="57">
        <v>20142801</v>
      </c>
      <c r="B1683" s="58" t="s">
        <v>8595</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18785</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9184</v>
      </c>
    </row>
    <row r="1699" spans="1:2" x14ac:dyDescent="0.25">
      <c r="A1699" s="57">
        <v>21101513</v>
      </c>
      <c r="B1699" s="58" t="s">
        <v>10486</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10105</v>
      </c>
    </row>
    <row r="1704" spans="1:2" x14ac:dyDescent="0.25">
      <c r="A1704" s="57">
        <v>21101603</v>
      </c>
      <c r="B1704" s="58" t="s">
        <v>17183</v>
      </c>
    </row>
    <row r="1705" spans="1:2" x14ac:dyDescent="0.25">
      <c r="A1705" s="57">
        <v>21101604</v>
      </c>
      <c r="B1705" s="58" t="s">
        <v>1395</v>
      </c>
    </row>
    <row r="1706" spans="1:2" x14ac:dyDescent="0.25">
      <c r="A1706" s="57">
        <v>21101605</v>
      </c>
      <c r="B1706" s="58" t="s">
        <v>10130</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10066</v>
      </c>
    </row>
    <row r="1715" spans="1:2" x14ac:dyDescent="0.25">
      <c r="A1715" s="57">
        <v>21101707</v>
      </c>
      <c r="B1715" s="58" t="s">
        <v>6317</v>
      </c>
    </row>
    <row r="1716" spans="1:2" x14ac:dyDescent="0.25">
      <c r="A1716" s="57">
        <v>21101708</v>
      </c>
      <c r="B1716" s="58" t="s">
        <v>9735</v>
      </c>
    </row>
    <row r="1717" spans="1:2" x14ac:dyDescent="0.25">
      <c r="A1717" s="57">
        <v>21101801</v>
      </c>
      <c r="B1717" s="58" t="s">
        <v>18805</v>
      </c>
    </row>
    <row r="1718" spans="1:2" x14ac:dyDescent="0.25">
      <c r="A1718" s="57">
        <v>21101802</v>
      </c>
      <c r="B1718" s="58" t="s">
        <v>6172</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7722</v>
      </c>
    </row>
    <row r="1728" spans="1:2" x14ac:dyDescent="0.25">
      <c r="A1728" s="57">
        <v>21101904</v>
      </c>
      <c r="B1728" s="58" t="s">
        <v>12489</v>
      </c>
    </row>
    <row r="1729" spans="1:2" x14ac:dyDescent="0.25">
      <c r="A1729" s="57">
        <v>21101905</v>
      </c>
      <c r="B1729" s="58" t="s">
        <v>15888</v>
      </c>
    </row>
    <row r="1730" spans="1:2" x14ac:dyDescent="0.25">
      <c r="A1730" s="57">
        <v>21101906</v>
      </c>
      <c r="B1730" s="58" t="s">
        <v>15568</v>
      </c>
    </row>
    <row r="1731" spans="1:2" x14ac:dyDescent="0.25">
      <c r="A1731" s="57">
        <v>21101907</v>
      </c>
      <c r="B1731" s="58" t="s">
        <v>12829</v>
      </c>
    </row>
    <row r="1732" spans="1:2" x14ac:dyDescent="0.25">
      <c r="A1732" s="57">
        <v>21101908</v>
      </c>
      <c r="B1732" s="58" t="s">
        <v>13445</v>
      </c>
    </row>
    <row r="1733" spans="1:2" x14ac:dyDescent="0.25">
      <c r="A1733" s="57">
        <v>21101909</v>
      </c>
      <c r="B1733" s="58" t="s">
        <v>11921</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6205</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18334</v>
      </c>
    </row>
    <row r="1747" spans="1:2" x14ac:dyDescent="0.25">
      <c r="A1747" s="57">
        <v>21102207</v>
      </c>
      <c r="B1747" s="58" t="s">
        <v>17678</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5912</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13386</v>
      </c>
    </row>
    <row r="1766" spans="1:2" x14ac:dyDescent="0.25">
      <c r="A1766" s="57">
        <v>22101502</v>
      </c>
      <c r="B1766" s="58" t="s">
        <v>6925</v>
      </c>
    </row>
    <row r="1767" spans="1:2" x14ac:dyDescent="0.25">
      <c r="A1767" s="57">
        <v>22101504</v>
      </c>
      <c r="B1767" s="58" t="s">
        <v>14700</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4872</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6237</v>
      </c>
    </row>
    <row r="1800" spans="1:2" x14ac:dyDescent="0.25">
      <c r="A1800" s="57">
        <v>22101609</v>
      </c>
      <c r="B1800" s="58" t="s">
        <v>7746</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11838</v>
      </c>
    </row>
    <row r="1813" spans="1:2" x14ac:dyDescent="0.25">
      <c r="A1813" s="57">
        <v>22101702</v>
      </c>
      <c r="B1813" s="58" t="s">
        <v>17735</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9977</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17239</v>
      </c>
    </row>
    <row r="1827" spans="1:2" x14ac:dyDescent="0.25">
      <c r="A1827" s="57">
        <v>22101716</v>
      </c>
      <c r="B1827" s="58" t="s">
        <v>10087</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12451</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11813</v>
      </c>
    </row>
    <row r="1836" spans="1:2" x14ac:dyDescent="0.25">
      <c r="A1836" s="57">
        <v>22101901</v>
      </c>
      <c r="B1836" s="58" t="s">
        <v>17268</v>
      </c>
    </row>
    <row r="1837" spans="1:2" x14ac:dyDescent="0.25">
      <c r="A1837" s="57">
        <v>22101902</v>
      </c>
      <c r="B1837" s="58" t="s">
        <v>13000</v>
      </c>
    </row>
    <row r="1838" spans="1:2" x14ac:dyDescent="0.25">
      <c r="A1838" s="57">
        <v>22101903</v>
      </c>
      <c r="B1838" s="58" t="s">
        <v>18705</v>
      </c>
    </row>
    <row r="1839" spans="1:2" x14ac:dyDescent="0.25">
      <c r="A1839" s="57">
        <v>22101904</v>
      </c>
      <c r="B1839" s="58" t="s">
        <v>5308</v>
      </c>
    </row>
    <row r="1840" spans="1:2" x14ac:dyDescent="0.25">
      <c r="A1840" s="57">
        <v>22101905</v>
      </c>
      <c r="B1840" s="58" t="s">
        <v>5568</v>
      </c>
    </row>
    <row r="1841" spans="1:2" x14ac:dyDescent="0.25">
      <c r="A1841" s="57">
        <v>22101906</v>
      </c>
      <c r="B1841" s="58" t="s">
        <v>10838</v>
      </c>
    </row>
    <row r="1842" spans="1:2" x14ac:dyDescent="0.25">
      <c r="A1842" s="57">
        <v>22101907</v>
      </c>
      <c r="B1842" s="58" t="s">
        <v>8196</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17247</v>
      </c>
    </row>
    <row r="1852" spans="1:2" x14ac:dyDescent="0.25">
      <c r="A1852" s="57">
        <v>23101509</v>
      </c>
      <c r="B1852" s="58" t="s">
        <v>10545</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13979</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14730</v>
      </c>
    </row>
    <row r="1865" spans="1:2" x14ac:dyDescent="0.25">
      <c r="A1865" s="57">
        <v>23101522</v>
      </c>
      <c r="B1865" s="58" t="s">
        <v>14137</v>
      </c>
    </row>
    <row r="1866" spans="1:2" x14ac:dyDescent="0.25">
      <c r="A1866" s="57">
        <v>23111501</v>
      </c>
      <c r="B1866" s="58" t="s">
        <v>5377</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4563</v>
      </c>
    </row>
    <row r="1871" spans="1:2" x14ac:dyDescent="0.25">
      <c r="A1871" s="57">
        <v>23111506</v>
      </c>
      <c r="B1871" s="58" t="s">
        <v>14425</v>
      </c>
    </row>
    <row r="1872" spans="1:2" x14ac:dyDescent="0.25">
      <c r="A1872" s="57">
        <v>23111507</v>
      </c>
      <c r="B1872" s="58" t="s">
        <v>17914</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8666</v>
      </c>
    </row>
    <row r="1883" spans="1:2" x14ac:dyDescent="0.25">
      <c r="A1883" s="57">
        <v>23121505</v>
      </c>
      <c r="B1883" s="58" t="s">
        <v>667</v>
      </c>
    </row>
    <row r="1884" spans="1:2" x14ac:dyDescent="0.25">
      <c r="A1884" s="57">
        <v>23121506</v>
      </c>
      <c r="B1884" s="58" t="s">
        <v>13592</v>
      </c>
    </row>
    <row r="1885" spans="1:2" x14ac:dyDescent="0.25">
      <c r="A1885" s="57">
        <v>23121507</v>
      </c>
      <c r="B1885" s="58" t="s">
        <v>7080</v>
      </c>
    </row>
    <row r="1886" spans="1:2" x14ac:dyDescent="0.25">
      <c r="A1886" s="57">
        <v>23121508</v>
      </c>
      <c r="B1886" s="58" t="s">
        <v>9888</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12580</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8787</v>
      </c>
    </row>
    <row r="1899" spans="1:2" x14ac:dyDescent="0.25">
      <c r="A1899" s="57">
        <v>23121611</v>
      </c>
      <c r="B1899" s="58" t="s">
        <v>10399</v>
      </c>
    </row>
    <row r="1900" spans="1:2" x14ac:dyDescent="0.25">
      <c r="A1900" s="57">
        <v>23121612</v>
      </c>
      <c r="B1900" s="58" t="s">
        <v>17585</v>
      </c>
    </row>
    <row r="1901" spans="1:2" x14ac:dyDescent="0.25">
      <c r="A1901" s="57">
        <v>23121613</v>
      </c>
      <c r="B1901" s="58" t="s">
        <v>4684</v>
      </c>
    </row>
    <row r="1902" spans="1:2" x14ac:dyDescent="0.25">
      <c r="A1902" s="57">
        <v>23121614</v>
      </c>
      <c r="B1902" s="58" t="s">
        <v>15767</v>
      </c>
    </row>
    <row r="1903" spans="1:2" x14ac:dyDescent="0.25">
      <c r="A1903" s="57">
        <v>23121615</v>
      </c>
      <c r="B1903" s="58" t="s">
        <v>17686</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13538</v>
      </c>
    </row>
    <row r="1909" spans="1:2" x14ac:dyDescent="0.25">
      <c r="A1909" s="57">
        <v>23131506</v>
      </c>
      <c r="B1909" s="58" t="s">
        <v>6769</v>
      </c>
    </row>
    <row r="1910" spans="1:2" x14ac:dyDescent="0.25">
      <c r="A1910" s="57">
        <v>23131507</v>
      </c>
      <c r="B1910" s="58" t="s">
        <v>9505</v>
      </c>
    </row>
    <row r="1911" spans="1:2" x14ac:dyDescent="0.25">
      <c r="A1911" s="57">
        <v>23131508</v>
      </c>
      <c r="B1911" s="58" t="s">
        <v>17996</v>
      </c>
    </row>
    <row r="1912" spans="1:2" x14ac:dyDescent="0.25">
      <c r="A1912" s="57">
        <v>23131509</v>
      </c>
      <c r="B1912" s="58" t="s">
        <v>6225</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9704</v>
      </c>
    </row>
    <row r="1921" spans="1:2" x14ac:dyDescent="0.25">
      <c r="A1921" s="57">
        <v>23131603</v>
      </c>
      <c r="B1921" s="58" t="s">
        <v>9426</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5987</v>
      </c>
    </row>
    <row r="1941" spans="1:2" x14ac:dyDescent="0.25">
      <c r="A1941" s="57">
        <v>23151507</v>
      </c>
      <c r="B1941" s="58" t="s">
        <v>16784</v>
      </c>
    </row>
    <row r="1942" spans="1:2" x14ac:dyDescent="0.25">
      <c r="A1942" s="57">
        <v>23151508</v>
      </c>
      <c r="B1942" s="58" t="s">
        <v>10345</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17486</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17613</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12304</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13773</v>
      </c>
    </row>
    <row r="1965" spans="1:2" x14ac:dyDescent="0.25">
      <c r="A1965" s="57">
        <v>23151803</v>
      </c>
      <c r="B1965" s="58" t="s">
        <v>15944</v>
      </c>
    </row>
    <row r="1966" spans="1:2" x14ac:dyDescent="0.25">
      <c r="A1966" s="57">
        <v>23151804</v>
      </c>
      <c r="B1966" s="58" t="s">
        <v>11950</v>
      </c>
    </row>
    <row r="1967" spans="1:2" x14ac:dyDescent="0.25">
      <c r="A1967" s="57">
        <v>23151805</v>
      </c>
      <c r="B1967" s="58" t="s">
        <v>10602</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6036</v>
      </c>
    </row>
    <row r="1973" spans="1:2" x14ac:dyDescent="0.25">
      <c r="A1973" s="57">
        <v>23151811</v>
      </c>
      <c r="B1973" s="58" t="s">
        <v>10665</v>
      </c>
    </row>
    <row r="1974" spans="1:2" x14ac:dyDescent="0.25">
      <c r="A1974" s="57">
        <v>23151812</v>
      </c>
      <c r="B1974" s="58" t="s">
        <v>6749</v>
      </c>
    </row>
    <row r="1975" spans="1:2" x14ac:dyDescent="0.25">
      <c r="A1975" s="57">
        <v>23151813</v>
      </c>
      <c r="B1975" s="58" t="s">
        <v>12442</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3311</v>
      </c>
    </row>
    <row r="1980" spans="1:2" x14ac:dyDescent="0.25">
      <c r="A1980" s="57">
        <v>23151819</v>
      </c>
      <c r="B1980" s="58" t="s">
        <v>17218</v>
      </c>
    </row>
    <row r="1981" spans="1:2" x14ac:dyDescent="0.25">
      <c r="A1981" s="57">
        <v>23151820</v>
      </c>
      <c r="B1981" s="58" t="s">
        <v>15587</v>
      </c>
    </row>
    <row r="1982" spans="1:2" x14ac:dyDescent="0.25">
      <c r="A1982" s="57">
        <v>23151821</v>
      </c>
      <c r="B1982" s="58" t="s">
        <v>4521</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11917</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11189</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9846</v>
      </c>
    </row>
    <row r="1998" spans="1:2" x14ac:dyDescent="0.25">
      <c r="A1998" s="57">
        <v>23152202</v>
      </c>
      <c r="B1998" s="58" t="s">
        <v>10132</v>
      </c>
    </row>
    <row r="1999" spans="1:2" x14ac:dyDescent="0.25">
      <c r="A1999" s="57">
        <v>23152203</v>
      </c>
      <c r="B1999" s="58" t="s">
        <v>6250</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17494</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11975</v>
      </c>
    </row>
    <row r="2016" spans="1:2" x14ac:dyDescent="0.25">
      <c r="A2016" s="57">
        <v>23153008</v>
      </c>
      <c r="B2016" s="58" t="s">
        <v>17747</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10842</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10850</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17293</v>
      </c>
    </row>
    <row r="2043" spans="1:2" x14ac:dyDescent="0.25">
      <c r="A2043" s="57">
        <v>23153035</v>
      </c>
      <c r="B2043" s="58" t="s">
        <v>4321</v>
      </c>
    </row>
    <row r="2044" spans="1:2" x14ac:dyDescent="0.25">
      <c r="A2044" s="57">
        <v>23153036</v>
      </c>
      <c r="B2044" s="58" t="s">
        <v>13915</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18508</v>
      </c>
    </row>
    <row r="2064" spans="1:2" x14ac:dyDescent="0.25">
      <c r="A2064" s="57">
        <v>23153204</v>
      </c>
      <c r="B2064" s="58" t="s">
        <v>9528</v>
      </c>
    </row>
    <row r="2065" spans="1:2" x14ac:dyDescent="0.25">
      <c r="A2065" s="57">
        <v>23153301</v>
      </c>
      <c r="B2065" s="58" t="s">
        <v>17762</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7693</v>
      </c>
    </row>
    <row r="2075" spans="1:2" x14ac:dyDescent="0.25">
      <c r="A2075" s="57">
        <v>23153312</v>
      </c>
      <c r="B2075" s="58" t="s">
        <v>17287</v>
      </c>
    </row>
    <row r="2076" spans="1:2" x14ac:dyDescent="0.25">
      <c r="A2076" s="57">
        <v>23153313</v>
      </c>
      <c r="B2076" s="58" t="s">
        <v>6852</v>
      </c>
    </row>
    <row r="2077" spans="1:2" x14ac:dyDescent="0.25">
      <c r="A2077" s="57">
        <v>23153401</v>
      </c>
      <c r="B2077" s="58" t="s">
        <v>15727</v>
      </c>
    </row>
    <row r="2078" spans="1:2" x14ac:dyDescent="0.25">
      <c r="A2078" s="57">
        <v>23153402</v>
      </c>
      <c r="B2078" s="58" t="s">
        <v>18711</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10648</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17714</v>
      </c>
    </row>
    <row r="2092" spans="1:2" x14ac:dyDescent="0.25">
      <c r="A2092" s="57">
        <v>23153416</v>
      </c>
      <c r="B2092" s="58" t="s">
        <v>5881</v>
      </c>
    </row>
    <row r="2093" spans="1:2" x14ac:dyDescent="0.25">
      <c r="A2093" s="57">
        <v>23153417</v>
      </c>
      <c r="B2093" s="58" t="s">
        <v>5294</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18676</v>
      </c>
    </row>
    <row r="2098" spans="1:2" x14ac:dyDescent="0.25">
      <c r="A2098" s="57">
        <v>23153505</v>
      </c>
      <c r="B2098" s="58" t="s">
        <v>12821</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10687</v>
      </c>
    </row>
    <row r="2107" spans="1:2" x14ac:dyDescent="0.25">
      <c r="A2107" s="57">
        <v>23161507</v>
      </c>
      <c r="B2107" s="58" t="s">
        <v>14952</v>
      </c>
    </row>
    <row r="2108" spans="1:2" x14ac:dyDescent="0.25">
      <c r="A2108" s="57">
        <v>23161508</v>
      </c>
      <c r="B2108" s="58" t="s">
        <v>17652</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18697</v>
      </c>
    </row>
    <row r="2115" spans="1:2" x14ac:dyDescent="0.25">
      <c r="A2115" s="57">
        <v>23161515</v>
      </c>
      <c r="B2115" s="58" t="s">
        <v>8576</v>
      </c>
    </row>
    <row r="2116" spans="1:2" x14ac:dyDescent="0.25">
      <c r="A2116" s="57">
        <v>23161601</v>
      </c>
      <c r="B2116" s="58" t="s">
        <v>15138</v>
      </c>
    </row>
    <row r="2117" spans="1:2" x14ac:dyDescent="0.25">
      <c r="A2117" s="57">
        <v>23161602</v>
      </c>
      <c r="B2117" s="58" t="s">
        <v>17816</v>
      </c>
    </row>
    <row r="2118" spans="1:2" x14ac:dyDescent="0.25">
      <c r="A2118" s="57">
        <v>23161603</v>
      </c>
      <c r="B2118" s="58" t="s">
        <v>4115</v>
      </c>
    </row>
    <row r="2119" spans="1:2" x14ac:dyDescent="0.25">
      <c r="A2119" s="57">
        <v>23161605</v>
      </c>
      <c r="B2119" s="58" t="s">
        <v>8295</v>
      </c>
    </row>
    <row r="2120" spans="1:2" x14ac:dyDescent="0.25">
      <c r="A2120" s="57">
        <v>23161606</v>
      </c>
      <c r="B2120" s="58" t="s">
        <v>11271</v>
      </c>
    </row>
    <row r="2121" spans="1:2" x14ac:dyDescent="0.25">
      <c r="A2121" s="57">
        <v>23161607</v>
      </c>
      <c r="B2121" s="58" t="s">
        <v>6035</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17719</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10569</v>
      </c>
    </row>
    <row r="2134" spans="1:2" x14ac:dyDescent="0.25">
      <c r="A2134" s="57">
        <v>23171513</v>
      </c>
      <c r="B2134" s="58" t="s">
        <v>5938</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13408</v>
      </c>
    </row>
    <row r="2142" spans="1:2" x14ac:dyDescent="0.25">
      <c r="A2142" s="57">
        <v>23171522</v>
      </c>
      <c r="B2142" s="58" t="s">
        <v>15973</v>
      </c>
    </row>
    <row r="2143" spans="1:2" x14ac:dyDescent="0.25">
      <c r="A2143" s="57">
        <v>23171523</v>
      </c>
      <c r="B2143" s="58" t="s">
        <v>7385</v>
      </c>
    </row>
    <row r="2144" spans="1:2" x14ac:dyDescent="0.25">
      <c r="A2144" s="57">
        <v>23171524</v>
      </c>
      <c r="B2144" s="58" t="s">
        <v>10219</v>
      </c>
    </row>
    <row r="2145" spans="1:2" x14ac:dyDescent="0.25">
      <c r="A2145" s="57">
        <v>23171525</v>
      </c>
      <c r="B2145" s="58" t="s">
        <v>17800</v>
      </c>
    </row>
    <row r="2146" spans="1:2" x14ac:dyDescent="0.25">
      <c r="A2146" s="57">
        <v>23171526</v>
      </c>
      <c r="B2146" s="58" t="s">
        <v>6302</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17604</v>
      </c>
    </row>
    <row r="2151" spans="1:2" x14ac:dyDescent="0.25">
      <c r="A2151" s="57">
        <v>23171531</v>
      </c>
      <c r="B2151" s="58" t="s">
        <v>10314</v>
      </c>
    </row>
    <row r="2152" spans="1:2" x14ac:dyDescent="0.25">
      <c r="A2152" s="57">
        <v>23171532</v>
      </c>
      <c r="B2152" s="58" t="s">
        <v>6736</v>
      </c>
    </row>
    <row r="2153" spans="1:2" x14ac:dyDescent="0.25">
      <c r="A2153" s="57">
        <v>23171533</v>
      </c>
      <c r="B2153" s="58" t="s">
        <v>13598</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17354</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12164</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11138</v>
      </c>
    </row>
    <row r="2172" spans="1:2" x14ac:dyDescent="0.25">
      <c r="A2172" s="57">
        <v>23171612</v>
      </c>
      <c r="B2172" s="58" t="s">
        <v>6823</v>
      </c>
    </row>
    <row r="2173" spans="1:2" x14ac:dyDescent="0.25">
      <c r="A2173" s="57">
        <v>23171613</v>
      </c>
      <c r="B2173" s="58" t="s">
        <v>6272</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10612</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14707</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9947</v>
      </c>
    </row>
    <row r="2195" spans="1:2" x14ac:dyDescent="0.25">
      <c r="A2195" s="57">
        <v>23171804</v>
      </c>
      <c r="B2195" s="58" t="s">
        <v>14701</v>
      </c>
    </row>
    <row r="2196" spans="1:2" x14ac:dyDescent="0.25">
      <c r="A2196" s="57">
        <v>23171805</v>
      </c>
      <c r="B2196" s="58" t="s">
        <v>6428</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4864</v>
      </c>
    </row>
    <row r="2210" spans="1:2" x14ac:dyDescent="0.25">
      <c r="A2210" s="57">
        <v>23172008</v>
      </c>
      <c r="B2210" s="58" t="s">
        <v>11053</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10449</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17259</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13632</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13557</v>
      </c>
    </row>
    <row r="2238" spans="1:2" x14ac:dyDescent="0.25">
      <c r="A2238" s="57">
        <v>23181703</v>
      </c>
      <c r="B2238" s="58" t="s">
        <v>9424</v>
      </c>
    </row>
    <row r="2239" spans="1:2" x14ac:dyDescent="0.25">
      <c r="A2239" s="57">
        <v>23181704</v>
      </c>
      <c r="B2239" s="58" t="s">
        <v>7298</v>
      </c>
    </row>
    <row r="2240" spans="1:2" x14ac:dyDescent="0.25">
      <c r="A2240" s="57">
        <v>23181801</v>
      </c>
      <c r="B2240" s="58" t="s">
        <v>13849</v>
      </c>
    </row>
    <row r="2241" spans="1:2" x14ac:dyDescent="0.25">
      <c r="A2241" s="57">
        <v>23181802</v>
      </c>
      <c r="B2241" s="58" t="s">
        <v>11571</v>
      </c>
    </row>
    <row r="2242" spans="1:2" x14ac:dyDescent="0.25">
      <c r="A2242" s="57">
        <v>23181803</v>
      </c>
      <c r="B2242" s="58" t="s">
        <v>13912</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18752</v>
      </c>
    </row>
    <row r="2247" spans="1:2" x14ac:dyDescent="0.25">
      <c r="A2247" s="57">
        <v>23191004</v>
      </c>
      <c r="B2247" s="58" t="s">
        <v>11689</v>
      </c>
    </row>
    <row r="2248" spans="1:2" x14ac:dyDescent="0.25">
      <c r="A2248" s="57">
        <v>23191005</v>
      </c>
      <c r="B2248" s="58" t="s">
        <v>7400</v>
      </c>
    </row>
    <row r="2249" spans="1:2" x14ac:dyDescent="0.25">
      <c r="A2249" s="57">
        <v>23191101</v>
      </c>
      <c r="B2249" s="58" t="s">
        <v>13965</v>
      </c>
    </row>
    <row r="2250" spans="1:2" x14ac:dyDescent="0.25">
      <c r="A2250" s="57">
        <v>23191102</v>
      </c>
      <c r="B2250" s="58" t="s">
        <v>6581</v>
      </c>
    </row>
    <row r="2251" spans="1:2" x14ac:dyDescent="0.25">
      <c r="A2251" s="57">
        <v>23191201</v>
      </c>
      <c r="B2251" s="58" t="s">
        <v>13023</v>
      </c>
    </row>
    <row r="2252" spans="1:2" x14ac:dyDescent="0.25">
      <c r="A2252" s="57">
        <v>23191202</v>
      </c>
      <c r="B2252" s="58" t="s">
        <v>1167</v>
      </c>
    </row>
    <row r="2253" spans="1:2" x14ac:dyDescent="0.25">
      <c r="A2253" s="57">
        <v>23201001</v>
      </c>
      <c r="B2253" s="58" t="s">
        <v>6511</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18025</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6198</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17857</v>
      </c>
    </row>
    <row r="2271" spans="1:2" x14ac:dyDescent="0.25">
      <c r="A2271" s="57">
        <v>23231101</v>
      </c>
      <c r="B2271" s="58" t="s">
        <v>13772</v>
      </c>
    </row>
    <row r="2272" spans="1:2" x14ac:dyDescent="0.25">
      <c r="A2272" s="57">
        <v>23231102</v>
      </c>
      <c r="B2272" s="58" t="s">
        <v>13376</v>
      </c>
    </row>
    <row r="2273" spans="1:2" x14ac:dyDescent="0.25">
      <c r="A2273" s="57">
        <v>23231201</v>
      </c>
      <c r="B2273" s="58" t="s">
        <v>12894</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14061</v>
      </c>
    </row>
    <row r="2278" spans="1:2" x14ac:dyDescent="0.25">
      <c r="A2278" s="57">
        <v>23231402</v>
      </c>
      <c r="B2278" s="58" t="s">
        <v>15485</v>
      </c>
    </row>
    <row r="2279" spans="1:2" x14ac:dyDescent="0.25">
      <c r="A2279" s="57">
        <v>23231501</v>
      </c>
      <c r="B2279" s="58" t="s">
        <v>12115</v>
      </c>
    </row>
    <row r="2280" spans="1:2" x14ac:dyDescent="0.25">
      <c r="A2280" s="57">
        <v>23231502</v>
      </c>
      <c r="B2280" s="58" t="s">
        <v>4118</v>
      </c>
    </row>
    <row r="2281" spans="1:2" x14ac:dyDescent="0.25">
      <c r="A2281" s="57">
        <v>23231601</v>
      </c>
      <c r="B2281" s="58" t="s">
        <v>10948</v>
      </c>
    </row>
    <row r="2282" spans="1:2" x14ac:dyDescent="0.25">
      <c r="A2282" s="57">
        <v>23231602</v>
      </c>
      <c r="B2282" s="58" t="s">
        <v>8696</v>
      </c>
    </row>
    <row r="2283" spans="1:2" x14ac:dyDescent="0.25">
      <c r="A2283" s="57">
        <v>23231701</v>
      </c>
      <c r="B2283" s="58" t="s">
        <v>10678</v>
      </c>
    </row>
    <row r="2284" spans="1:2" x14ac:dyDescent="0.25">
      <c r="A2284" s="57">
        <v>23231801</v>
      </c>
      <c r="B2284" s="58" t="s">
        <v>12887</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17279</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2050</v>
      </c>
    </row>
    <row r="2299" spans="1:2" x14ac:dyDescent="0.25">
      <c r="A2299" s="57">
        <v>24101509</v>
      </c>
      <c r="B2299" s="58" t="s">
        <v>4503</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18368</v>
      </c>
    </row>
    <row r="2304" spans="1:2" x14ac:dyDescent="0.25">
      <c r="A2304" s="57">
        <v>24101602</v>
      </c>
      <c r="B2304" s="58" t="s">
        <v>11712</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17488</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14589</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13191</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17501</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5946</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13813</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12265</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12149</v>
      </c>
    </row>
    <row r="2375" spans="1:2" x14ac:dyDescent="0.25">
      <c r="A2375" s="57">
        <v>24101904</v>
      </c>
      <c r="B2375" s="58" t="s">
        <v>5382</v>
      </c>
    </row>
    <row r="2376" spans="1:2" x14ac:dyDescent="0.25">
      <c r="A2376" s="57">
        <v>24101905</v>
      </c>
      <c r="B2376" s="58" t="s">
        <v>17565</v>
      </c>
    </row>
    <row r="2377" spans="1:2" x14ac:dyDescent="0.25">
      <c r="A2377" s="57">
        <v>24101906</v>
      </c>
      <c r="B2377" s="58" t="s">
        <v>2505</v>
      </c>
    </row>
    <row r="2378" spans="1:2" x14ac:dyDescent="0.25">
      <c r="A2378" s="57">
        <v>24101907</v>
      </c>
      <c r="B2378" s="58" t="s">
        <v>14451</v>
      </c>
    </row>
    <row r="2379" spans="1:2" x14ac:dyDescent="0.25">
      <c r="A2379" s="57">
        <v>24102001</v>
      </c>
      <c r="B2379" s="58" t="s">
        <v>8599</v>
      </c>
    </row>
    <row r="2380" spans="1:2" x14ac:dyDescent="0.25">
      <c r="A2380" s="57">
        <v>24102002</v>
      </c>
      <c r="B2380" s="58" t="s">
        <v>10748</v>
      </c>
    </row>
    <row r="2381" spans="1:2" x14ac:dyDescent="0.25">
      <c r="A2381" s="57">
        <v>24102004</v>
      </c>
      <c r="B2381" s="58" t="s">
        <v>7077</v>
      </c>
    </row>
    <row r="2382" spans="1:2" x14ac:dyDescent="0.25">
      <c r="A2382" s="57">
        <v>24102005</v>
      </c>
      <c r="B2382" s="58" t="s">
        <v>14672</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10479</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13061</v>
      </c>
    </row>
    <row r="2391" spans="1:2" x14ac:dyDescent="0.25">
      <c r="A2391" s="57">
        <v>24102106</v>
      </c>
      <c r="B2391" s="58" t="s">
        <v>858</v>
      </c>
    </row>
    <row r="2392" spans="1:2" x14ac:dyDescent="0.25">
      <c r="A2392" s="57">
        <v>24102107</v>
      </c>
      <c r="B2392" s="58" t="s">
        <v>6387</v>
      </c>
    </row>
    <row r="2393" spans="1:2" x14ac:dyDescent="0.25">
      <c r="A2393" s="57">
        <v>24102108</v>
      </c>
      <c r="B2393" s="58" t="s">
        <v>13661</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4519</v>
      </c>
    </row>
    <row r="2405" spans="1:2" x14ac:dyDescent="0.25">
      <c r="A2405" s="57">
        <v>24111507</v>
      </c>
      <c r="B2405" s="58" t="s">
        <v>6159</v>
      </c>
    </row>
    <row r="2406" spans="1:2" x14ac:dyDescent="0.25">
      <c r="A2406" s="57">
        <v>24111508</v>
      </c>
      <c r="B2406" s="58" t="s">
        <v>13621</v>
      </c>
    </row>
    <row r="2407" spans="1:2" x14ac:dyDescent="0.25">
      <c r="A2407" s="57">
        <v>24111509</v>
      </c>
      <c r="B2407" s="58" t="s">
        <v>16019</v>
      </c>
    </row>
    <row r="2408" spans="1:2" x14ac:dyDescent="0.25">
      <c r="A2408" s="57">
        <v>24111801</v>
      </c>
      <c r="B2408" s="58" t="s">
        <v>2977</v>
      </c>
    </row>
    <row r="2409" spans="1:2" x14ac:dyDescent="0.25">
      <c r="A2409" s="57">
        <v>24111802</v>
      </c>
      <c r="B2409" s="58" t="s">
        <v>12735</v>
      </c>
    </row>
    <row r="2410" spans="1:2" x14ac:dyDescent="0.25">
      <c r="A2410" s="57">
        <v>24111803</v>
      </c>
      <c r="B2410" s="58" t="s">
        <v>7390</v>
      </c>
    </row>
    <row r="2411" spans="1:2" x14ac:dyDescent="0.25">
      <c r="A2411" s="57">
        <v>24111804</v>
      </c>
      <c r="B2411" s="58" t="s">
        <v>15981</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12525</v>
      </c>
    </row>
    <row r="2420" spans="1:2" x14ac:dyDescent="0.25">
      <c r="A2420" s="57">
        <v>24111813</v>
      </c>
      <c r="B2420" s="58" t="s">
        <v>6022</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12708</v>
      </c>
    </row>
    <row r="2425" spans="1:2" x14ac:dyDescent="0.25">
      <c r="A2425" s="57">
        <v>24112101</v>
      </c>
      <c r="B2425" s="58" t="s">
        <v>13905</v>
      </c>
    </row>
    <row r="2426" spans="1:2" x14ac:dyDescent="0.25">
      <c r="A2426" s="57">
        <v>24112102</v>
      </c>
      <c r="B2426" s="58" t="s">
        <v>13901</v>
      </c>
    </row>
    <row r="2427" spans="1:2" x14ac:dyDescent="0.25">
      <c r="A2427" s="57">
        <v>24112108</v>
      </c>
      <c r="B2427" s="58" t="s">
        <v>18086</v>
      </c>
    </row>
    <row r="2428" spans="1:2" x14ac:dyDescent="0.25">
      <c r="A2428" s="57">
        <v>24112109</v>
      </c>
      <c r="B2428" s="58" t="s">
        <v>1529</v>
      </c>
    </row>
    <row r="2429" spans="1:2" x14ac:dyDescent="0.25">
      <c r="A2429" s="57">
        <v>24112110</v>
      </c>
      <c r="B2429" s="58" t="s">
        <v>11601</v>
      </c>
    </row>
    <row r="2430" spans="1:2" x14ac:dyDescent="0.25">
      <c r="A2430" s="57">
        <v>24112111</v>
      </c>
      <c r="B2430" s="58" t="s">
        <v>17668</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18747</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16988</v>
      </c>
    </row>
    <row r="2442" spans="1:2" x14ac:dyDescent="0.25">
      <c r="A2442" s="57">
        <v>24112405</v>
      </c>
      <c r="B2442" s="58" t="s">
        <v>238</v>
      </c>
    </row>
    <row r="2443" spans="1:2" x14ac:dyDescent="0.25">
      <c r="A2443" s="57">
        <v>24112406</v>
      </c>
      <c r="B2443" s="58" t="s">
        <v>12161</v>
      </c>
    </row>
    <row r="2444" spans="1:2" x14ac:dyDescent="0.25">
      <c r="A2444" s="57">
        <v>24112407</v>
      </c>
      <c r="B2444" s="58" t="s">
        <v>4349</v>
      </c>
    </row>
    <row r="2445" spans="1:2" x14ac:dyDescent="0.25">
      <c r="A2445" s="57">
        <v>24112408</v>
      </c>
      <c r="B2445" s="58" t="s">
        <v>14737</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17734</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4515</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12483</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18734</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12458</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4899</v>
      </c>
    </row>
    <row r="2493" spans="1:2" x14ac:dyDescent="0.25">
      <c r="A2493" s="57">
        <v>24141507</v>
      </c>
      <c r="B2493" s="58" t="s">
        <v>13035</v>
      </c>
    </row>
    <row r="2494" spans="1:2" x14ac:dyDescent="0.25">
      <c r="A2494" s="57">
        <v>24141508</v>
      </c>
      <c r="B2494" s="58" t="s">
        <v>7526</v>
      </c>
    </row>
    <row r="2495" spans="1:2" x14ac:dyDescent="0.25">
      <c r="A2495" s="57">
        <v>24141509</v>
      </c>
      <c r="B2495" s="58" t="s">
        <v>10560</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17701</v>
      </c>
    </row>
    <row r="2504" spans="1:2" x14ac:dyDescent="0.25">
      <c r="A2504" s="57">
        <v>24141603</v>
      </c>
      <c r="B2504" s="58" t="s">
        <v>11642</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13292</v>
      </c>
    </row>
    <row r="2509" spans="1:2" x14ac:dyDescent="0.25">
      <c r="A2509" s="57">
        <v>24141608</v>
      </c>
      <c r="B2509" s="58" t="s">
        <v>17335</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13523</v>
      </c>
    </row>
    <row r="2514" spans="1:2" x14ac:dyDescent="0.25">
      <c r="A2514" s="57">
        <v>24141705</v>
      </c>
      <c r="B2514" s="58" t="s">
        <v>8233</v>
      </c>
    </row>
    <row r="2515" spans="1:2" x14ac:dyDescent="0.25">
      <c r="A2515" s="57">
        <v>24141706</v>
      </c>
      <c r="B2515" s="58" t="s">
        <v>15729</v>
      </c>
    </row>
    <row r="2516" spans="1:2" x14ac:dyDescent="0.25">
      <c r="A2516" s="57">
        <v>24141707</v>
      </c>
      <c r="B2516" s="58" t="s">
        <v>17495</v>
      </c>
    </row>
    <row r="2517" spans="1:2" x14ac:dyDescent="0.25">
      <c r="A2517" s="57">
        <v>24141708</v>
      </c>
      <c r="B2517" s="58" t="s">
        <v>12107</v>
      </c>
    </row>
    <row r="2518" spans="1:2" x14ac:dyDescent="0.25">
      <c r="A2518" s="57">
        <v>24141709</v>
      </c>
      <c r="B2518" s="58" t="s">
        <v>9537</v>
      </c>
    </row>
    <row r="2519" spans="1:2" x14ac:dyDescent="0.25">
      <c r="A2519" s="57">
        <v>25101501</v>
      </c>
      <c r="B2519" s="58" t="s">
        <v>16741</v>
      </c>
    </row>
    <row r="2520" spans="1:2" x14ac:dyDescent="0.25">
      <c r="A2520" s="57">
        <v>25101502</v>
      </c>
      <c r="B2520" s="58" t="s">
        <v>18147</v>
      </c>
    </row>
    <row r="2521" spans="1:2" x14ac:dyDescent="0.25">
      <c r="A2521" s="57">
        <v>25101503</v>
      </c>
      <c r="B2521" s="58" t="s">
        <v>13631</v>
      </c>
    </row>
    <row r="2522" spans="1:2" x14ac:dyDescent="0.25">
      <c r="A2522" s="57">
        <v>25101504</v>
      </c>
      <c r="B2522" s="58" t="s">
        <v>6188</v>
      </c>
    </row>
    <row r="2523" spans="1:2" x14ac:dyDescent="0.25">
      <c r="A2523" s="57">
        <v>25101505</v>
      </c>
      <c r="B2523" s="58" t="s">
        <v>14078</v>
      </c>
    </row>
    <row r="2524" spans="1:2" x14ac:dyDescent="0.25">
      <c r="A2524" s="57">
        <v>25101506</v>
      </c>
      <c r="B2524" s="58" t="s">
        <v>9401</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13867</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14377</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5886</v>
      </c>
    </row>
    <row r="2553" spans="1:2" x14ac:dyDescent="0.25">
      <c r="A2553" s="57">
        <v>25102104</v>
      </c>
      <c r="B2553" s="58" t="s">
        <v>13745</v>
      </c>
    </row>
    <row r="2554" spans="1:2" x14ac:dyDescent="0.25">
      <c r="A2554" s="57">
        <v>25102105</v>
      </c>
      <c r="B2554" s="58" t="s">
        <v>17313</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12496</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10801</v>
      </c>
    </row>
    <row r="2570" spans="1:2" x14ac:dyDescent="0.25">
      <c r="A2570" s="57">
        <v>25111602</v>
      </c>
      <c r="B2570" s="58" t="s">
        <v>7279</v>
      </c>
    </row>
    <row r="2571" spans="1:2" x14ac:dyDescent="0.25">
      <c r="A2571" s="57">
        <v>25111603</v>
      </c>
      <c r="B2571" s="58" t="s">
        <v>10013</v>
      </c>
    </row>
    <row r="2572" spans="1:2" x14ac:dyDescent="0.25">
      <c r="A2572" s="57">
        <v>25111701</v>
      </c>
      <c r="B2572" s="58" t="s">
        <v>10878</v>
      </c>
    </row>
    <row r="2573" spans="1:2" x14ac:dyDescent="0.25">
      <c r="A2573" s="57">
        <v>25111702</v>
      </c>
      <c r="B2573" s="58" t="s">
        <v>5981</v>
      </c>
    </row>
    <row r="2574" spans="1:2" x14ac:dyDescent="0.25">
      <c r="A2574" s="57">
        <v>25111703</v>
      </c>
      <c r="B2574" s="58" t="s">
        <v>4399</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10769</v>
      </c>
    </row>
    <row r="2588" spans="1:2" x14ac:dyDescent="0.25">
      <c r="A2588" s="57">
        <v>25111717</v>
      </c>
      <c r="B2588" s="58" t="s">
        <v>4225</v>
      </c>
    </row>
    <row r="2589" spans="1:2" x14ac:dyDescent="0.25">
      <c r="A2589" s="57">
        <v>25111718</v>
      </c>
      <c r="B2589" s="58" t="s">
        <v>14824</v>
      </c>
    </row>
    <row r="2590" spans="1:2" x14ac:dyDescent="0.25">
      <c r="A2590" s="57">
        <v>25111719</v>
      </c>
      <c r="B2590" s="58" t="s">
        <v>14458</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11842</v>
      </c>
    </row>
    <row r="2601" spans="1:2" x14ac:dyDescent="0.25">
      <c r="A2601" s="57">
        <v>25111901</v>
      </c>
      <c r="B2601" s="58" t="s">
        <v>8006</v>
      </c>
    </row>
    <row r="2602" spans="1:2" x14ac:dyDescent="0.25">
      <c r="A2602" s="57">
        <v>25111902</v>
      </c>
      <c r="B2602" s="58" t="s">
        <v>11719</v>
      </c>
    </row>
    <row r="2603" spans="1:2" x14ac:dyDescent="0.25">
      <c r="A2603" s="57">
        <v>25111903</v>
      </c>
      <c r="B2603" s="58" t="s">
        <v>14184</v>
      </c>
    </row>
    <row r="2604" spans="1:2" x14ac:dyDescent="0.25">
      <c r="A2604" s="57">
        <v>25111904</v>
      </c>
      <c r="B2604" s="58" t="s">
        <v>13667</v>
      </c>
    </row>
    <row r="2605" spans="1:2" x14ac:dyDescent="0.25">
      <c r="A2605" s="57">
        <v>25111905</v>
      </c>
      <c r="B2605" s="58" t="s">
        <v>5877</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7263</v>
      </c>
    </row>
    <row r="2616" spans="1:2" x14ac:dyDescent="0.25">
      <c r="A2616" s="57">
        <v>25111916</v>
      </c>
      <c r="B2616" s="58" t="s">
        <v>9723</v>
      </c>
    </row>
    <row r="2617" spans="1:2" x14ac:dyDescent="0.25">
      <c r="A2617" s="57">
        <v>25111917</v>
      </c>
      <c r="B2617" s="58" t="s">
        <v>11812</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9963</v>
      </c>
    </row>
    <row r="2624" spans="1:2" x14ac:dyDescent="0.25">
      <c r="A2624" s="57">
        <v>25111924</v>
      </c>
      <c r="B2624" s="58" t="s">
        <v>7681</v>
      </c>
    </row>
    <row r="2625" spans="1:2" x14ac:dyDescent="0.25">
      <c r="A2625" s="57">
        <v>25111925</v>
      </c>
      <c r="B2625" s="58" t="s">
        <v>10252</v>
      </c>
    </row>
    <row r="2626" spans="1:2" x14ac:dyDescent="0.25">
      <c r="A2626" s="57">
        <v>25111926</v>
      </c>
      <c r="B2626" s="58" t="s">
        <v>11234</v>
      </c>
    </row>
    <row r="2627" spans="1:2" x14ac:dyDescent="0.25">
      <c r="A2627" s="57">
        <v>25111927</v>
      </c>
      <c r="B2627" s="58" t="s">
        <v>3983</v>
      </c>
    </row>
    <row r="2628" spans="1:2" x14ac:dyDescent="0.25">
      <c r="A2628" s="57">
        <v>25111928</v>
      </c>
      <c r="B2628" s="58" t="s">
        <v>10383</v>
      </c>
    </row>
    <row r="2629" spans="1:2" x14ac:dyDescent="0.25">
      <c r="A2629" s="57">
        <v>25111929</v>
      </c>
      <c r="B2629" s="58" t="s">
        <v>5346</v>
      </c>
    </row>
    <row r="2630" spans="1:2" x14ac:dyDescent="0.25">
      <c r="A2630" s="57">
        <v>25111930</v>
      </c>
      <c r="B2630" s="58" t="s">
        <v>11949</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11983</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11766</v>
      </c>
    </row>
    <row r="2640" spans="1:2" x14ac:dyDescent="0.25">
      <c r="A2640" s="57">
        <v>25121601</v>
      </c>
      <c r="B2640" s="58" t="s">
        <v>12551</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12032</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12710</v>
      </c>
    </row>
    <row r="2667" spans="1:2" x14ac:dyDescent="0.25">
      <c r="A2667" s="57">
        <v>25131704</v>
      </c>
      <c r="B2667" s="58" t="s">
        <v>9186</v>
      </c>
    </row>
    <row r="2668" spans="1:2" x14ac:dyDescent="0.25">
      <c r="A2668" s="57">
        <v>25131705</v>
      </c>
      <c r="B2668" s="58" t="s">
        <v>10750</v>
      </c>
    </row>
    <row r="2669" spans="1:2" x14ac:dyDescent="0.25">
      <c r="A2669" s="57">
        <v>25131706</v>
      </c>
      <c r="B2669" s="58" t="s">
        <v>8211</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5314</v>
      </c>
    </row>
    <row r="2674" spans="1:2" x14ac:dyDescent="0.25">
      <c r="A2674" s="57">
        <v>25131902</v>
      </c>
      <c r="B2674" s="58" t="s">
        <v>2956</v>
      </c>
    </row>
    <row r="2675" spans="1:2" x14ac:dyDescent="0.25">
      <c r="A2675" s="57">
        <v>25131903</v>
      </c>
      <c r="B2675" s="58" t="s">
        <v>13656</v>
      </c>
    </row>
    <row r="2676" spans="1:2" x14ac:dyDescent="0.25">
      <c r="A2676" s="57">
        <v>25131904</v>
      </c>
      <c r="B2676" s="58" t="s">
        <v>9131</v>
      </c>
    </row>
    <row r="2677" spans="1:2" x14ac:dyDescent="0.25">
      <c r="A2677" s="57">
        <v>25131905</v>
      </c>
      <c r="B2677" s="58" t="s">
        <v>12288</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18746</v>
      </c>
    </row>
    <row r="2682" spans="1:2" x14ac:dyDescent="0.25">
      <c r="A2682" s="57">
        <v>25132004</v>
      </c>
      <c r="B2682" s="58" t="s">
        <v>11449</v>
      </c>
    </row>
    <row r="2683" spans="1:2" x14ac:dyDescent="0.25">
      <c r="A2683" s="57">
        <v>25132005</v>
      </c>
      <c r="B2683" s="58" t="s">
        <v>14526</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17772</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14481</v>
      </c>
    </row>
    <row r="2696" spans="1:2" x14ac:dyDescent="0.25">
      <c r="A2696" s="57">
        <v>25161502</v>
      </c>
      <c r="B2696" s="58" t="s">
        <v>3839</v>
      </c>
    </row>
    <row r="2697" spans="1:2" x14ac:dyDescent="0.25">
      <c r="A2697" s="57">
        <v>25161503</v>
      </c>
      <c r="B2697" s="58" t="s">
        <v>10504</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13663</v>
      </c>
    </row>
    <row r="2712" spans="1:2" x14ac:dyDescent="0.25">
      <c r="A2712" s="57">
        <v>25171702</v>
      </c>
      <c r="B2712" s="58" t="s">
        <v>8242</v>
      </c>
    </row>
    <row r="2713" spans="1:2" x14ac:dyDescent="0.25">
      <c r="A2713" s="57">
        <v>25171703</v>
      </c>
      <c r="B2713" s="58" t="s">
        <v>4941</v>
      </c>
    </row>
    <row r="2714" spans="1:2" x14ac:dyDescent="0.25">
      <c r="A2714" s="57">
        <v>25171704</v>
      </c>
      <c r="B2714" s="58" t="s">
        <v>11045</v>
      </c>
    </row>
    <row r="2715" spans="1:2" x14ac:dyDescent="0.25">
      <c r="A2715" s="57">
        <v>25171705</v>
      </c>
      <c r="B2715" s="58" t="s">
        <v>8818</v>
      </c>
    </row>
    <row r="2716" spans="1:2" x14ac:dyDescent="0.25">
      <c r="A2716" s="57">
        <v>25171706</v>
      </c>
      <c r="B2716" s="58" t="s">
        <v>1150</v>
      </c>
    </row>
    <row r="2717" spans="1:2" x14ac:dyDescent="0.25">
      <c r="A2717" s="57">
        <v>25171707</v>
      </c>
      <c r="B2717" s="58" t="s">
        <v>14226</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6120</v>
      </c>
    </row>
    <row r="2723" spans="1:2" x14ac:dyDescent="0.25">
      <c r="A2723" s="57">
        <v>25171713</v>
      </c>
      <c r="B2723" s="58" t="s">
        <v>14713</v>
      </c>
    </row>
    <row r="2724" spans="1:2" x14ac:dyDescent="0.25">
      <c r="A2724" s="57">
        <v>25171714</v>
      </c>
      <c r="B2724" s="58" t="s">
        <v>9248</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17789</v>
      </c>
    </row>
    <row r="2730" spans="1:2" x14ac:dyDescent="0.25">
      <c r="A2730" s="57">
        <v>25171901</v>
      </c>
      <c r="B2730" s="58" t="s">
        <v>3590</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17557</v>
      </c>
    </row>
    <row r="2738" spans="1:2" x14ac:dyDescent="0.25">
      <c r="A2738" s="57">
        <v>25172005</v>
      </c>
      <c r="B2738" s="58" t="s">
        <v>9176</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17347</v>
      </c>
    </row>
    <row r="2746" spans="1:2" x14ac:dyDescent="0.25">
      <c r="A2746" s="57">
        <v>25172106</v>
      </c>
      <c r="B2746" s="58" t="s">
        <v>8540</v>
      </c>
    </row>
    <row r="2747" spans="1:2" x14ac:dyDescent="0.25">
      <c r="A2747" s="57">
        <v>25172108</v>
      </c>
      <c r="B2747" s="58" t="s">
        <v>80</v>
      </c>
    </row>
    <row r="2748" spans="1:2" x14ac:dyDescent="0.25">
      <c r="A2748" s="57">
        <v>25172109</v>
      </c>
      <c r="B2748" s="58" t="s">
        <v>6028</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12298</v>
      </c>
    </row>
    <row r="2754" spans="1:2" x14ac:dyDescent="0.25">
      <c r="A2754" s="57">
        <v>25172201</v>
      </c>
      <c r="B2754" s="58" t="s">
        <v>4939</v>
      </c>
    </row>
    <row r="2755" spans="1:2" x14ac:dyDescent="0.25">
      <c r="A2755" s="57">
        <v>25172203</v>
      </c>
      <c r="B2755" s="58" t="s">
        <v>10889</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14639</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5858</v>
      </c>
    </row>
    <row r="2765" spans="1:2" x14ac:dyDescent="0.25">
      <c r="A2765" s="57">
        <v>25172502</v>
      </c>
      <c r="B2765" s="58" t="s">
        <v>14168</v>
      </c>
    </row>
    <row r="2766" spans="1:2" x14ac:dyDescent="0.25">
      <c r="A2766" s="57">
        <v>25172503</v>
      </c>
      <c r="B2766" s="58" t="s">
        <v>6011</v>
      </c>
    </row>
    <row r="2767" spans="1:2" x14ac:dyDescent="0.25">
      <c r="A2767" s="57">
        <v>25172504</v>
      </c>
      <c r="B2767" s="58" t="s">
        <v>16136</v>
      </c>
    </row>
    <row r="2768" spans="1:2" x14ac:dyDescent="0.25">
      <c r="A2768" s="57">
        <v>25172505</v>
      </c>
      <c r="B2768" s="58" t="s">
        <v>18000</v>
      </c>
    </row>
    <row r="2769" spans="1:2" x14ac:dyDescent="0.25">
      <c r="A2769" s="57">
        <v>25172506</v>
      </c>
      <c r="B2769" s="58" t="s">
        <v>6191</v>
      </c>
    </row>
    <row r="2770" spans="1:2" x14ac:dyDescent="0.25">
      <c r="A2770" s="57">
        <v>25172507</v>
      </c>
      <c r="B2770" s="58" t="s">
        <v>11522</v>
      </c>
    </row>
    <row r="2771" spans="1:2" x14ac:dyDescent="0.25">
      <c r="A2771" s="57">
        <v>25172508</v>
      </c>
      <c r="B2771" s="58" t="s">
        <v>18397</v>
      </c>
    </row>
    <row r="2772" spans="1:2" x14ac:dyDescent="0.25">
      <c r="A2772" s="57">
        <v>25172601</v>
      </c>
      <c r="B2772" s="58" t="s">
        <v>9504</v>
      </c>
    </row>
    <row r="2773" spans="1:2" x14ac:dyDescent="0.25">
      <c r="A2773" s="57">
        <v>25172602</v>
      </c>
      <c r="B2773" s="58" t="s">
        <v>11636</v>
      </c>
    </row>
    <row r="2774" spans="1:2" x14ac:dyDescent="0.25">
      <c r="A2774" s="57">
        <v>25172603</v>
      </c>
      <c r="B2774" s="58" t="s">
        <v>6531</v>
      </c>
    </row>
    <row r="2775" spans="1:2" x14ac:dyDescent="0.25">
      <c r="A2775" s="57">
        <v>25172604</v>
      </c>
      <c r="B2775" s="58" t="s">
        <v>12725</v>
      </c>
    </row>
    <row r="2776" spans="1:2" x14ac:dyDescent="0.25">
      <c r="A2776" s="57">
        <v>25172605</v>
      </c>
      <c r="B2776" s="58" t="s">
        <v>9931</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2535</v>
      </c>
    </row>
    <row r="2785" spans="1:2" x14ac:dyDescent="0.25">
      <c r="A2785" s="57">
        <v>25172901</v>
      </c>
      <c r="B2785" s="58" t="s">
        <v>14649</v>
      </c>
    </row>
    <row r="2786" spans="1:2" x14ac:dyDescent="0.25">
      <c r="A2786" s="57">
        <v>25172903</v>
      </c>
      <c r="B2786" s="58" t="s">
        <v>18121</v>
      </c>
    </row>
    <row r="2787" spans="1:2" x14ac:dyDescent="0.25">
      <c r="A2787" s="57">
        <v>25172904</v>
      </c>
      <c r="B2787" s="58" t="s">
        <v>6294</v>
      </c>
    </row>
    <row r="2788" spans="1:2" x14ac:dyDescent="0.25">
      <c r="A2788" s="57">
        <v>25172905</v>
      </c>
      <c r="B2788" s="58" t="s">
        <v>10875</v>
      </c>
    </row>
    <row r="2789" spans="1:2" x14ac:dyDescent="0.25">
      <c r="A2789" s="57">
        <v>25172906</v>
      </c>
      <c r="B2789" s="58" t="s">
        <v>3133</v>
      </c>
    </row>
    <row r="2790" spans="1:2" x14ac:dyDescent="0.25">
      <c r="A2790" s="57">
        <v>25172907</v>
      </c>
      <c r="B2790" s="58" t="s">
        <v>14736</v>
      </c>
    </row>
    <row r="2791" spans="1:2" x14ac:dyDescent="0.25">
      <c r="A2791" s="57">
        <v>25173001</v>
      </c>
      <c r="B2791" s="58" t="s">
        <v>7638</v>
      </c>
    </row>
    <row r="2792" spans="1:2" x14ac:dyDescent="0.25">
      <c r="A2792" s="57">
        <v>25173003</v>
      </c>
      <c r="B2792" s="58" t="s">
        <v>5870</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13602</v>
      </c>
    </row>
    <row r="2797" spans="1:2" x14ac:dyDescent="0.25">
      <c r="A2797" s="57">
        <v>25173303</v>
      </c>
      <c r="B2797" s="58" t="s">
        <v>11650</v>
      </c>
    </row>
    <row r="2798" spans="1:2" x14ac:dyDescent="0.25">
      <c r="A2798" s="57">
        <v>25173304</v>
      </c>
      <c r="B2798" s="58" t="s">
        <v>1480</v>
      </c>
    </row>
    <row r="2799" spans="1:2" x14ac:dyDescent="0.25">
      <c r="A2799" s="57">
        <v>25173701</v>
      </c>
      <c r="B2799" s="58" t="s">
        <v>6140</v>
      </c>
    </row>
    <row r="2800" spans="1:2" x14ac:dyDescent="0.25">
      <c r="A2800" s="57">
        <v>25173702</v>
      </c>
      <c r="B2800" s="58" t="s">
        <v>3261</v>
      </c>
    </row>
    <row r="2801" spans="1:2" x14ac:dyDescent="0.25">
      <c r="A2801" s="57">
        <v>25173703</v>
      </c>
      <c r="B2801" s="58" t="s">
        <v>15004</v>
      </c>
    </row>
    <row r="2802" spans="1:2" x14ac:dyDescent="0.25">
      <c r="A2802" s="57">
        <v>25173704</v>
      </c>
      <c r="B2802" s="58" t="s">
        <v>14714</v>
      </c>
    </row>
    <row r="2803" spans="1:2" x14ac:dyDescent="0.25">
      <c r="A2803" s="57">
        <v>25173705</v>
      </c>
      <c r="B2803" s="58" t="s">
        <v>13150</v>
      </c>
    </row>
    <row r="2804" spans="1:2" x14ac:dyDescent="0.25">
      <c r="A2804" s="57">
        <v>25173801</v>
      </c>
      <c r="B2804" s="58" t="s">
        <v>4615</v>
      </c>
    </row>
    <row r="2805" spans="1:2" x14ac:dyDescent="0.25">
      <c r="A2805" s="57">
        <v>25173802</v>
      </c>
      <c r="B2805" s="58" t="s">
        <v>9927</v>
      </c>
    </row>
    <row r="2806" spans="1:2" x14ac:dyDescent="0.25">
      <c r="A2806" s="57">
        <v>25173803</v>
      </c>
      <c r="B2806" s="58" t="s">
        <v>17915</v>
      </c>
    </row>
    <row r="2807" spans="1:2" x14ac:dyDescent="0.25">
      <c r="A2807" s="57">
        <v>25173804</v>
      </c>
      <c r="B2807" s="58" t="s">
        <v>12405</v>
      </c>
    </row>
    <row r="2808" spans="1:2" x14ac:dyDescent="0.25">
      <c r="A2808" s="57">
        <v>25173805</v>
      </c>
      <c r="B2808" s="58" t="s">
        <v>13459</v>
      </c>
    </row>
    <row r="2809" spans="1:2" x14ac:dyDescent="0.25">
      <c r="A2809" s="57">
        <v>25173806</v>
      </c>
      <c r="B2809" s="58" t="s">
        <v>13325</v>
      </c>
    </row>
    <row r="2810" spans="1:2" x14ac:dyDescent="0.25">
      <c r="A2810" s="57">
        <v>25173807</v>
      </c>
      <c r="B2810" s="58" t="s">
        <v>8188</v>
      </c>
    </row>
    <row r="2811" spans="1:2" x14ac:dyDescent="0.25">
      <c r="A2811" s="57">
        <v>25173808</v>
      </c>
      <c r="B2811" s="58" t="s">
        <v>13065</v>
      </c>
    </row>
    <row r="2812" spans="1:2" x14ac:dyDescent="0.25">
      <c r="A2812" s="57">
        <v>25173809</v>
      </c>
      <c r="B2812" s="58" t="s">
        <v>14557</v>
      </c>
    </row>
    <row r="2813" spans="1:2" x14ac:dyDescent="0.25">
      <c r="A2813" s="57">
        <v>25173810</v>
      </c>
      <c r="B2813" s="58" t="s">
        <v>8439</v>
      </c>
    </row>
    <row r="2814" spans="1:2" x14ac:dyDescent="0.25">
      <c r="A2814" s="57">
        <v>25173811</v>
      </c>
      <c r="B2814" s="58" t="s">
        <v>8968</v>
      </c>
    </row>
    <row r="2815" spans="1:2" x14ac:dyDescent="0.25">
      <c r="A2815" s="57">
        <v>25173812</v>
      </c>
      <c r="B2815" s="58" t="s">
        <v>12085</v>
      </c>
    </row>
    <row r="2816" spans="1:2" x14ac:dyDescent="0.25">
      <c r="A2816" s="57">
        <v>25173813</v>
      </c>
      <c r="B2816" s="58" t="s">
        <v>8469</v>
      </c>
    </row>
    <row r="2817" spans="1:2" x14ac:dyDescent="0.25">
      <c r="A2817" s="57">
        <v>25173815</v>
      </c>
      <c r="B2817" s="58" t="s">
        <v>9840</v>
      </c>
    </row>
    <row r="2818" spans="1:2" x14ac:dyDescent="0.25">
      <c r="A2818" s="57">
        <v>25173816</v>
      </c>
      <c r="B2818" s="58" t="s">
        <v>7047</v>
      </c>
    </row>
    <row r="2819" spans="1:2" x14ac:dyDescent="0.25">
      <c r="A2819" s="57">
        <v>25173817</v>
      </c>
      <c r="B2819" s="58" t="s">
        <v>11644</v>
      </c>
    </row>
    <row r="2820" spans="1:2" x14ac:dyDescent="0.25">
      <c r="A2820" s="57">
        <v>25173901</v>
      </c>
      <c r="B2820" s="58" t="s">
        <v>18071</v>
      </c>
    </row>
    <row r="2821" spans="1:2" x14ac:dyDescent="0.25">
      <c r="A2821" s="57">
        <v>25174001</v>
      </c>
      <c r="B2821" s="58" t="s">
        <v>18657</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5461</v>
      </c>
    </row>
    <row r="2830" spans="1:2" x14ac:dyDescent="0.25">
      <c r="A2830" s="57">
        <v>25174106</v>
      </c>
      <c r="B2830" s="58" t="s">
        <v>12333</v>
      </c>
    </row>
    <row r="2831" spans="1:2" x14ac:dyDescent="0.25">
      <c r="A2831" s="57">
        <v>25174107</v>
      </c>
      <c r="B2831" s="58" t="s">
        <v>163</v>
      </c>
    </row>
    <row r="2832" spans="1:2" x14ac:dyDescent="0.25">
      <c r="A2832" s="57">
        <v>25174201</v>
      </c>
      <c r="B2832" s="58" t="s">
        <v>9024</v>
      </c>
    </row>
    <row r="2833" spans="1:2" x14ac:dyDescent="0.25">
      <c r="A2833" s="57">
        <v>25174202</v>
      </c>
      <c r="B2833" s="58" t="s">
        <v>13412</v>
      </c>
    </row>
    <row r="2834" spans="1:2" x14ac:dyDescent="0.25">
      <c r="A2834" s="57">
        <v>25174203</v>
      </c>
      <c r="B2834" s="58" t="s">
        <v>10539</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17503</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17600</v>
      </c>
    </row>
    <row r="2843" spans="1:2" x14ac:dyDescent="0.25">
      <c r="A2843" s="57">
        <v>25174212</v>
      </c>
      <c r="B2843" s="58" t="s">
        <v>18807</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9670</v>
      </c>
    </row>
    <row r="2858" spans="1:2" x14ac:dyDescent="0.25">
      <c r="A2858" s="57">
        <v>25174701</v>
      </c>
      <c r="B2858" s="58" t="s">
        <v>4608</v>
      </c>
    </row>
    <row r="2859" spans="1:2" x14ac:dyDescent="0.25">
      <c r="A2859" s="57">
        <v>25181601</v>
      </c>
      <c r="B2859" s="58" t="s">
        <v>4124</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13423</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15278</v>
      </c>
    </row>
    <row r="2869" spans="1:2" x14ac:dyDescent="0.25">
      <c r="A2869" s="57">
        <v>25181708</v>
      </c>
      <c r="B2869" s="58" t="s">
        <v>13659</v>
      </c>
    </row>
    <row r="2870" spans="1:2" x14ac:dyDescent="0.25">
      <c r="A2870" s="57">
        <v>25181709</v>
      </c>
      <c r="B2870" s="58" t="s">
        <v>12151</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12143</v>
      </c>
    </row>
    <row r="2875" spans="1:2" x14ac:dyDescent="0.25">
      <c r="A2875" s="57">
        <v>25191501</v>
      </c>
      <c r="B2875" s="58" t="s">
        <v>10989</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10911</v>
      </c>
    </row>
    <row r="2880" spans="1:2" x14ac:dyDescent="0.25">
      <c r="A2880" s="57">
        <v>25191506</v>
      </c>
      <c r="B2880" s="58" t="s">
        <v>12392</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17306</v>
      </c>
    </row>
    <row r="2891" spans="1:2" x14ac:dyDescent="0.25">
      <c r="A2891" s="57">
        <v>25191603</v>
      </c>
      <c r="B2891" s="58" t="s">
        <v>3966</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5898</v>
      </c>
    </row>
    <row r="2896" spans="1:2" x14ac:dyDescent="0.25">
      <c r="A2896" s="57">
        <v>25191703</v>
      </c>
      <c r="B2896" s="58" t="s">
        <v>12229</v>
      </c>
    </row>
    <row r="2897" spans="1:2" x14ac:dyDescent="0.25">
      <c r="A2897" s="57">
        <v>25191704</v>
      </c>
      <c r="B2897" s="58" t="s">
        <v>17325</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14107</v>
      </c>
    </row>
    <row r="2906" spans="1:2" x14ac:dyDescent="0.25">
      <c r="A2906" s="57">
        <v>25201509</v>
      </c>
      <c r="B2906" s="58" t="s">
        <v>10218</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10263</v>
      </c>
    </row>
    <row r="2911" spans="1:2" x14ac:dyDescent="0.25">
      <c r="A2911" s="57">
        <v>25201514</v>
      </c>
      <c r="B2911" s="58" t="s">
        <v>11981</v>
      </c>
    </row>
    <row r="2912" spans="1:2" x14ac:dyDescent="0.25">
      <c r="A2912" s="57">
        <v>25201515</v>
      </c>
      <c r="B2912" s="58" t="s">
        <v>14983</v>
      </c>
    </row>
    <row r="2913" spans="1:2" x14ac:dyDescent="0.25">
      <c r="A2913" s="57">
        <v>25201516</v>
      </c>
      <c r="B2913" s="58" t="s">
        <v>8109</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8470</v>
      </c>
    </row>
    <row r="2919" spans="1:2" x14ac:dyDescent="0.25">
      <c r="A2919" s="57">
        <v>25201602</v>
      </c>
      <c r="B2919" s="58" t="s">
        <v>5927</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10698</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17902</v>
      </c>
    </row>
    <row r="2933" spans="1:2" x14ac:dyDescent="0.25">
      <c r="A2933" s="57">
        <v>25201710</v>
      </c>
      <c r="B2933" s="58" t="s">
        <v>14060</v>
      </c>
    </row>
    <row r="2934" spans="1:2" x14ac:dyDescent="0.25">
      <c r="A2934" s="57">
        <v>25201801</v>
      </c>
      <c r="B2934" s="58" t="s">
        <v>7818</v>
      </c>
    </row>
    <row r="2935" spans="1:2" x14ac:dyDescent="0.25">
      <c r="A2935" s="57">
        <v>25201802</v>
      </c>
      <c r="B2935" s="58" t="s">
        <v>8516</v>
      </c>
    </row>
    <row r="2936" spans="1:2" x14ac:dyDescent="0.25">
      <c r="A2936" s="57">
        <v>25201901</v>
      </c>
      <c r="B2936" s="58" t="s">
        <v>17805</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12206</v>
      </c>
    </row>
    <row r="2943" spans="1:2" x14ac:dyDescent="0.25">
      <c r="A2943" s="57">
        <v>25202004</v>
      </c>
      <c r="B2943" s="58" t="s">
        <v>14986</v>
      </c>
    </row>
    <row r="2944" spans="1:2" x14ac:dyDescent="0.25">
      <c r="A2944" s="57">
        <v>25202101</v>
      </c>
      <c r="B2944" s="58" t="s">
        <v>13570</v>
      </c>
    </row>
    <row r="2945" spans="1:2" x14ac:dyDescent="0.25">
      <c r="A2945" s="57">
        <v>25202102</v>
      </c>
      <c r="B2945" s="58" t="s">
        <v>7593</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3952</v>
      </c>
    </row>
    <row r="2950" spans="1:2" x14ac:dyDescent="0.25">
      <c r="A2950" s="57">
        <v>25202202</v>
      </c>
      <c r="B2950" s="58" t="s">
        <v>4420</v>
      </c>
    </row>
    <row r="2951" spans="1:2" x14ac:dyDescent="0.25">
      <c r="A2951" s="57">
        <v>25202203</v>
      </c>
      <c r="B2951" s="58" t="s">
        <v>12444</v>
      </c>
    </row>
    <row r="2952" spans="1:2" x14ac:dyDescent="0.25">
      <c r="A2952" s="57">
        <v>25202204</v>
      </c>
      <c r="B2952" s="58" t="s">
        <v>13626</v>
      </c>
    </row>
    <row r="2953" spans="1:2" x14ac:dyDescent="0.25">
      <c r="A2953" s="57">
        <v>25202205</v>
      </c>
      <c r="B2953" s="58" t="s">
        <v>16241</v>
      </c>
    </row>
    <row r="2954" spans="1:2" x14ac:dyDescent="0.25">
      <c r="A2954" s="57">
        <v>25202206</v>
      </c>
      <c r="B2954" s="58" t="s">
        <v>3972</v>
      </c>
    </row>
    <row r="2955" spans="1:2" x14ac:dyDescent="0.25">
      <c r="A2955" s="57">
        <v>25202301</v>
      </c>
      <c r="B2955" s="58" t="s">
        <v>11973</v>
      </c>
    </row>
    <row r="2956" spans="1:2" x14ac:dyDescent="0.25">
      <c r="A2956" s="57">
        <v>25202302</v>
      </c>
      <c r="B2956" s="58" t="s">
        <v>18029</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18638</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17208</v>
      </c>
    </row>
    <row r="2965" spans="1:2" x14ac:dyDescent="0.25">
      <c r="A2965" s="57">
        <v>25202503</v>
      </c>
      <c r="B2965" s="58" t="s">
        <v>15323</v>
      </c>
    </row>
    <row r="2966" spans="1:2" x14ac:dyDescent="0.25">
      <c r="A2966" s="57">
        <v>25202504</v>
      </c>
      <c r="B2966" s="58" t="s">
        <v>13120</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13317</v>
      </c>
    </row>
    <row r="2973" spans="1:2" x14ac:dyDescent="0.25">
      <c r="A2973" s="57">
        <v>25202601</v>
      </c>
      <c r="B2973" s="58" t="s">
        <v>14931</v>
      </c>
    </row>
    <row r="2974" spans="1:2" x14ac:dyDescent="0.25">
      <c r="A2974" s="57">
        <v>25202602</v>
      </c>
      <c r="B2974" s="58" t="s">
        <v>4447</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17599</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17396</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5848</v>
      </c>
    </row>
    <row r="2998" spans="1:2" x14ac:dyDescent="0.25">
      <c r="A2998" s="57">
        <v>26101604</v>
      </c>
      <c r="B2998" s="58" t="s">
        <v>8285</v>
      </c>
    </row>
    <row r="2999" spans="1:2" x14ac:dyDescent="0.25">
      <c r="A2999" s="57">
        <v>26101605</v>
      </c>
      <c r="B2999" s="58" t="s">
        <v>15639</v>
      </c>
    </row>
    <row r="3000" spans="1:2" x14ac:dyDescent="0.25">
      <c r="A3000" s="57">
        <v>26101606</v>
      </c>
      <c r="B3000" s="58" t="s">
        <v>12103</v>
      </c>
    </row>
    <row r="3001" spans="1:2" x14ac:dyDescent="0.25">
      <c r="A3001" s="57">
        <v>26101607</v>
      </c>
      <c r="B3001" s="58" t="s">
        <v>1893</v>
      </c>
    </row>
    <row r="3002" spans="1:2" x14ac:dyDescent="0.25">
      <c r="A3002" s="57">
        <v>26101608</v>
      </c>
      <c r="B3002" s="58" t="s">
        <v>5224</v>
      </c>
    </row>
    <row r="3003" spans="1:2" x14ac:dyDescent="0.25">
      <c r="A3003" s="57">
        <v>26101609</v>
      </c>
      <c r="B3003" s="58" t="s">
        <v>13874</v>
      </c>
    </row>
    <row r="3004" spans="1:2" x14ac:dyDescent="0.25">
      <c r="A3004" s="57">
        <v>26101610</v>
      </c>
      <c r="B3004" s="58" t="s">
        <v>4306</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5851</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14271</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17736</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12062</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6050</v>
      </c>
    </row>
    <row r="3042" spans="1:2" x14ac:dyDescent="0.25">
      <c r="A3042" s="57">
        <v>26101734</v>
      </c>
      <c r="B3042" s="58" t="s">
        <v>11942</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6072</v>
      </c>
    </row>
    <row r="3059" spans="1:2" x14ac:dyDescent="0.25">
      <c r="A3059" s="57">
        <v>26101757</v>
      </c>
      <c r="B3059" s="58" t="s">
        <v>2761</v>
      </c>
    </row>
    <row r="3060" spans="1:2" x14ac:dyDescent="0.25">
      <c r="A3060" s="57">
        <v>26101758</v>
      </c>
      <c r="B3060" s="58" t="s">
        <v>5569</v>
      </c>
    </row>
    <row r="3061" spans="1:2" x14ac:dyDescent="0.25">
      <c r="A3061" s="57">
        <v>26101759</v>
      </c>
      <c r="B3061" s="58" t="s">
        <v>17410</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9506</v>
      </c>
    </row>
    <row r="3066" spans="1:2" x14ac:dyDescent="0.25">
      <c r="A3066" s="57">
        <v>26101764</v>
      </c>
      <c r="B3066" s="58" t="s">
        <v>10804</v>
      </c>
    </row>
    <row r="3067" spans="1:2" x14ac:dyDescent="0.25">
      <c r="A3067" s="57">
        <v>26101765</v>
      </c>
      <c r="B3067" s="58" t="s">
        <v>5780</v>
      </c>
    </row>
    <row r="3068" spans="1:2" x14ac:dyDescent="0.25">
      <c r="A3068" s="57">
        <v>26101766</v>
      </c>
      <c r="B3068" s="58" t="s">
        <v>13122</v>
      </c>
    </row>
    <row r="3069" spans="1:2" x14ac:dyDescent="0.25">
      <c r="A3069" s="57">
        <v>26101801</v>
      </c>
      <c r="B3069" s="58" t="s">
        <v>5266</v>
      </c>
    </row>
    <row r="3070" spans="1:2" x14ac:dyDescent="0.25">
      <c r="A3070" s="57">
        <v>26101802</v>
      </c>
      <c r="B3070" s="58" t="s">
        <v>10679</v>
      </c>
    </row>
    <row r="3071" spans="1:2" x14ac:dyDescent="0.25">
      <c r="A3071" s="57">
        <v>26101803</v>
      </c>
      <c r="B3071" s="58" t="s">
        <v>18799</v>
      </c>
    </row>
    <row r="3072" spans="1:2" x14ac:dyDescent="0.25">
      <c r="A3072" s="57">
        <v>26101805</v>
      </c>
      <c r="B3072" s="58" t="s">
        <v>10716</v>
      </c>
    </row>
    <row r="3073" spans="1:2" x14ac:dyDescent="0.25">
      <c r="A3073" s="57">
        <v>26101806</v>
      </c>
      <c r="B3073" s="58" t="s">
        <v>13327</v>
      </c>
    </row>
    <row r="3074" spans="1:2" x14ac:dyDescent="0.25">
      <c r="A3074" s="57">
        <v>26101807</v>
      </c>
      <c r="B3074" s="58" t="s">
        <v>9391</v>
      </c>
    </row>
    <row r="3075" spans="1:2" x14ac:dyDescent="0.25">
      <c r="A3075" s="57">
        <v>26101808</v>
      </c>
      <c r="B3075" s="58" t="s">
        <v>18806</v>
      </c>
    </row>
    <row r="3076" spans="1:2" x14ac:dyDescent="0.25">
      <c r="A3076" s="57">
        <v>26101809</v>
      </c>
      <c r="B3076" s="58" t="s">
        <v>12655</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10036</v>
      </c>
    </row>
    <row r="3081" spans="1:2" x14ac:dyDescent="0.25">
      <c r="A3081" s="57">
        <v>26111503</v>
      </c>
      <c r="B3081" s="58" t="s">
        <v>9187</v>
      </c>
    </row>
    <row r="3082" spans="1:2" x14ac:dyDescent="0.25">
      <c r="A3082" s="57">
        <v>26111504</v>
      </c>
      <c r="B3082" s="58" t="s">
        <v>4018</v>
      </c>
    </row>
    <row r="3083" spans="1:2" x14ac:dyDescent="0.25">
      <c r="A3083" s="57">
        <v>26111505</v>
      </c>
      <c r="B3083" s="58" t="s">
        <v>17541</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10776</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3879</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5428</v>
      </c>
    </row>
    <row r="3121" spans="1:2" x14ac:dyDescent="0.25">
      <c r="A3121" s="57">
        <v>26111702</v>
      </c>
      <c r="B3121" s="58" t="s">
        <v>10200</v>
      </c>
    </row>
    <row r="3122" spans="1:2" x14ac:dyDescent="0.25">
      <c r="A3122" s="57">
        <v>26111703</v>
      </c>
      <c r="B3122" s="58" t="s">
        <v>5283</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11615</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11010</v>
      </c>
    </row>
    <row r="3153" spans="1:2" x14ac:dyDescent="0.25">
      <c r="A3153" s="57">
        <v>26111809</v>
      </c>
      <c r="B3153" s="58" t="s">
        <v>5682</v>
      </c>
    </row>
    <row r="3154" spans="1:2" x14ac:dyDescent="0.25">
      <c r="A3154" s="57">
        <v>26111810</v>
      </c>
      <c r="B3154" s="58" t="s">
        <v>3900</v>
      </c>
    </row>
    <row r="3155" spans="1:2" x14ac:dyDescent="0.25">
      <c r="A3155" s="57">
        <v>26111901</v>
      </c>
      <c r="B3155" s="58" t="s">
        <v>12718</v>
      </c>
    </row>
    <row r="3156" spans="1:2" x14ac:dyDescent="0.25">
      <c r="A3156" s="57">
        <v>26111902</v>
      </c>
      <c r="B3156" s="58" t="s">
        <v>15807</v>
      </c>
    </row>
    <row r="3157" spans="1:2" x14ac:dyDescent="0.25">
      <c r="A3157" s="57">
        <v>26111903</v>
      </c>
      <c r="B3157" s="58" t="s">
        <v>6124</v>
      </c>
    </row>
    <row r="3158" spans="1:2" x14ac:dyDescent="0.25">
      <c r="A3158" s="57">
        <v>26111904</v>
      </c>
      <c r="B3158" s="58" t="s">
        <v>16656</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14070</v>
      </c>
    </row>
    <row r="3165" spans="1:2" x14ac:dyDescent="0.25">
      <c r="A3165" s="57">
        <v>26112002</v>
      </c>
      <c r="B3165" s="58" t="s">
        <v>16053</v>
      </c>
    </row>
    <row r="3166" spans="1:2" x14ac:dyDescent="0.25">
      <c r="A3166" s="57">
        <v>26112003</v>
      </c>
      <c r="B3166" s="58" t="s">
        <v>12968</v>
      </c>
    </row>
    <row r="3167" spans="1:2" x14ac:dyDescent="0.25">
      <c r="A3167" s="57">
        <v>26112004</v>
      </c>
      <c r="B3167" s="58" t="s">
        <v>9980</v>
      </c>
    </row>
    <row r="3168" spans="1:2" x14ac:dyDescent="0.25">
      <c r="A3168" s="57">
        <v>26112101</v>
      </c>
      <c r="B3168" s="58" t="s">
        <v>6308</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17671</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10317</v>
      </c>
    </row>
    <row r="3191" spans="1:2" x14ac:dyDescent="0.25">
      <c r="A3191" s="57">
        <v>26121536</v>
      </c>
      <c r="B3191" s="58" t="s">
        <v>4583</v>
      </c>
    </row>
    <row r="3192" spans="1:2" x14ac:dyDescent="0.25">
      <c r="A3192" s="57">
        <v>26121538</v>
      </c>
      <c r="B3192" s="58" t="s">
        <v>8764</v>
      </c>
    </row>
    <row r="3193" spans="1:2" x14ac:dyDescent="0.25">
      <c r="A3193" s="57">
        <v>26121539</v>
      </c>
      <c r="B3193" s="58" t="s">
        <v>11606</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11908</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10226</v>
      </c>
    </row>
    <row r="3207" spans="1:2" x14ac:dyDescent="0.25">
      <c r="A3207" s="57">
        <v>26121612</v>
      </c>
      <c r="B3207" s="58" t="s">
        <v>14116</v>
      </c>
    </row>
    <row r="3208" spans="1:2" x14ac:dyDescent="0.25">
      <c r="A3208" s="57">
        <v>26121613</v>
      </c>
      <c r="B3208" s="58" t="s">
        <v>8404</v>
      </c>
    </row>
    <row r="3209" spans="1:2" x14ac:dyDescent="0.25">
      <c r="A3209" s="57">
        <v>26121614</v>
      </c>
      <c r="B3209" s="58" t="s">
        <v>12469</v>
      </c>
    </row>
    <row r="3210" spans="1:2" x14ac:dyDescent="0.25">
      <c r="A3210" s="57">
        <v>26121615</v>
      </c>
      <c r="B3210" s="58" t="s">
        <v>10985</v>
      </c>
    </row>
    <row r="3211" spans="1:2" x14ac:dyDescent="0.25">
      <c r="A3211" s="57">
        <v>26121616</v>
      </c>
      <c r="B3211" s="58" t="s">
        <v>5969</v>
      </c>
    </row>
    <row r="3212" spans="1:2" x14ac:dyDescent="0.25">
      <c r="A3212" s="57">
        <v>26121617</v>
      </c>
      <c r="B3212" s="58" t="s">
        <v>7851</v>
      </c>
    </row>
    <row r="3213" spans="1:2" x14ac:dyDescent="0.25">
      <c r="A3213" s="57">
        <v>26121618</v>
      </c>
      <c r="B3213" s="58" t="s">
        <v>11554</v>
      </c>
    </row>
    <row r="3214" spans="1:2" x14ac:dyDescent="0.25">
      <c r="A3214" s="57">
        <v>26121619</v>
      </c>
      <c r="B3214" s="58" t="s">
        <v>5729</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7710</v>
      </c>
    </row>
    <row r="3219" spans="1:2" x14ac:dyDescent="0.25">
      <c r="A3219" s="57">
        <v>26121624</v>
      </c>
      <c r="B3219" s="58" t="s">
        <v>6871</v>
      </c>
    </row>
    <row r="3220" spans="1:2" x14ac:dyDescent="0.25">
      <c r="A3220" s="57">
        <v>26121628</v>
      </c>
      <c r="B3220" s="58" t="s">
        <v>14179</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11716</v>
      </c>
    </row>
    <row r="3226" spans="1:2" x14ac:dyDescent="0.25">
      <c r="A3226" s="57">
        <v>26121634</v>
      </c>
      <c r="B3226" s="58" t="s">
        <v>9475</v>
      </c>
    </row>
    <row r="3227" spans="1:2" x14ac:dyDescent="0.25">
      <c r="A3227" s="57">
        <v>26121635</v>
      </c>
      <c r="B3227" s="58" t="s">
        <v>1471</v>
      </c>
    </row>
    <row r="3228" spans="1:2" x14ac:dyDescent="0.25">
      <c r="A3228" s="57">
        <v>26121636</v>
      </c>
      <c r="B3228" s="58" t="s">
        <v>14665</v>
      </c>
    </row>
    <row r="3229" spans="1:2" x14ac:dyDescent="0.25">
      <c r="A3229" s="57">
        <v>26121637</v>
      </c>
      <c r="B3229" s="58" t="s">
        <v>12277</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17246</v>
      </c>
    </row>
    <row r="3241" spans="1:2" x14ac:dyDescent="0.25">
      <c r="A3241" s="57">
        <v>26131507</v>
      </c>
      <c r="B3241" s="58" t="s">
        <v>9274</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5178</v>
      </c>
    </row>
    <row r="3248" spans="1:2" x14ac:dyDescent="0.25">
      <c r="A3248" s="57">
        <v>26131604</v>
      </c>
      <c r="B3248" s="58" t="s">
        <v>15577</v>
      </c>
    </row>
    <row r="3249" spans="1:2" x14ac:dyDescent="0.25">
      <c r="A3249" s="57">
        <v>26131605</v>
      </c>
      <c r="B3249" s="58" t="s">
        <v>17339</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4974</v>
      </c>
    </row>
    <row r="3261" spans="1:2" x14ac:dyDescent="0.25">
      <c r="A3261" s="57">
        <v>26131701</v>
      </c>
      <c r="B3261" s="58" t="s">
        <v>15287</v>
      </c>
    </row>
    <row r="3262" spans="1:2" x14ac:dyDescent="0.25">
      <c r="A3262" s="57">
        <v>26131702</v>
      </c>
      <c r="B3262" s="58" t="s">
        <v>13858</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5843</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7754</v>
      </c>
    </row>
    <row r="3285" spans="1:2" x14ac:dyDescent="0.25">
      <c r="A3285" s="57">
        <v>26141802</v>
      </c>
      <c r="B3285" s="58" t="s">
        <v>11423</v>
      </c>
    </row>
    <row r="3286" spans="1:2" x14ac:dyDescent="0.25">
      <c r="A3286" s="57">
        <v>26141803</v>
      </c>
      <c r="B3286" s="58" t="s">
        <v>18160</v>
      </c>
    </row>
    <row r="3287" spans="1:2" x14ac:dyDescent="0.25">
      <c r="A3287" s="57">
        <v>26141804</v>
      </c>
      <c r="B3287" s="58" t="s">
        <v>14127</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13132</v>
      </c>
    </row>
    <row r="3293" spans="1:2" x14ac:dyDescent="0.25">
      <c r="A3293" s="57">
        <v>26141901</v>
      </c>
      <c r="B3293" s="58" t="s">
        <v>14810</v>
      </c>
    </row>
    <row r="3294" spans="1:2" x14ac:dyDescent="0.25">
      <c r="A3294" s="57">
        <v>26141902</v>
      </c>
      <c r="B3294" s="58" t="s">
        <v>14325</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9630</v>
      </c>
    </row>
    <row r="3301" spans="1:2" x14ac:dyDescent="0.25">
      <c r="A3301" s="57">
        <v>26141910</v>
      </c>
      <c r="B3301" s="58" t="s">
        <v>10881</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13285</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17894</v>
      </c>
    </row>
    <row r="3311" spans="1:2" x14ac:dyDescent="0.25">
      <c r="A3311" s="57">
        <v>26142106</v>
      </c>
      <c r="B3311" s="58" t="s">
        <v>11451</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13838</v>
      </c>
    </row>
    <row r="3316" spans="1:2" x14ac:dyDescent="0.25">
      <c r="A3316" s="57">
        <v>26142302</v>
      </c>
      <c r="B3316" s="58" t="s">
        <v>8773</v>
      </c>
    </row>
    <row r="3317" spans="1:2" x14ac:dyDescent="0.25">
      <c r="A3317" s="57">
        <v>26142303</v>
      </c>
      <c r="B3317" s="58" t="s">
        <v>12962</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4668</v>
      </c>
    </row>
    <row r="3322" spans="1:2" x14ac:dyDescent="0.25">
      <c r="A3322" s="57">
        <v>26142310</v>
      </c>
      <c r="B3322" s="58" t="s">
        <v>17737</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12093</v>
      </c>
    </row>
    <row r="3329" spans="1:2" x14ac:dyDescent="0.25">
      <c r="A3329" s="57">
        <v>26142405</v>
      </c>
      <c r="B3329" s="58" t="s">
        <v>13366</v>
      </c>
    </row>
    <row r="3330" spans="1:2" x14ac:dyDescent="0.25">
      <c r="A3330" s="57">
        <v>26142406</v>
      </c>
      <c r="B3330" s="58" t="s">
        <v>13448</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13465</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12055</v>
      </c>
    </row>
    <row r="3348" spans="1:2" x14ac:dyDescent="0.25">
      <c r="A3348" s="57">
        <v>27111516</v>
      </c>
      <c r="B3348" s="58" t="s">
        <v>4146</v>
      </c>
    </row>
    <row r="3349" spans="1:2" x14ac:dyDescent="0.25">
      <c r="A3349" s="57">
        <v>27111517</v>
      </c>
      <c r="B3349" s="58" t="s">
        <v>10451</v>
      </c>
    </row>
    <row r="3350" spans="1:2" x14ac:dyDescent="0.25">
      <c r="A3350" s="57">
        <v>27111518</v>
      </c>
      <c r="B3350" s="58" t="s">
        <v>9000</v>
      </c>
    </row>
    <row r="3351" spans="1:2" x14ac:dyDescent="0.25">
      <c r="A3351" s="57">
        <v>27111519</v>
      </c>
      <c r="B3351" s="58" t="s">
        <v>8506</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5668</v>
      </c>
    </row>
    <row r="3356" spans="1:2" x14ac:dyDescent="0.25">
      <c r="A3356" s="57">
        <v>27111603</v>
      </c>
      <c r="B3356" s="58" t="s">
        <v>12245</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10029</v>
      </c>
    </row>
    <row r="3363" spans="1:2" x14ac:dyDescent="0.25">
      <c r="A3363" s="57">
        <v>27111702</v>
      </c>
      <c r="B3363" s="58" t="s">
        <v>15487</v>
      </c>
    </row>
    <row r="3364" spans="1:2" x14ac:dyDescent="0.25">
      <c r="A3364" s="57">
        <v>27111703</v>
      </c>
      <c r="B3364" s="58" t="s">
        <v>5161</v>
      </c>
    </row>
    <row r="3365" spans="1:2" x14ac:dyDescent="0.25">
      <c r="A3365" s="57">
        <v>27111704</v>
      </c>
      <c r="B3365" s="58" t="s">
        <v>13507</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12018</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4736</v>
      </c>
    </row>
    <row r="3390" spans="1:2" x14ac:dyDescent="0.25">
      <c r="A3390" s="57">
        <v>27111803</v>
      </c>
      <c r="B3390" s="58" t="s">
        <v>14732</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17356</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13534</v>
      </c>
    </row>
    <row r="3438" spans="1:2" x14ac:dyDescent="0.25">
      <c r="A3438" s="57">
        <v>27112115</v>
      </c>
      <c r="B3438" s="58" t="s">
        <v>18202</v>
      </c>
    </row>
    <row r="3439" spans="1:2" x14ac:dyDescent="0.25">
      <c r="A3439" s="57">
        <v>27112116</v>
      </c>
      <c r="B3439" s="58" t="s">
        <v>712</v>
      </c>
    </row>
    <row r="3440" spans="1:2" x14ac:dyDescent="0.25">
      <c r="A3440" s="57">
        <v>27112117</v>
      </c>
      <c r="B3440" s="58" t="s">
        <v>12033</v>
      </c>
    </row>
    <row r="3441" spans="1:2" x14ac:dyDescent="0.25">
      <c r="A3441" s="57">
        <v>27112119</v>
      </c>
      <c r="B3441" s="58" t="s">
        <v>5951</v>
      </c>
    </row>
    <row r="3442" spans="1:2" x14ac:dyDescent="0.25">
      <c r="A3442" s="57">
        <v>27112120</v>
      </c>
      <c r="B3442" s="58" t="s">
        <v>10154</v>
      </c>
    </row>
    <row r="3443" spans="1:2" x14ac:dyDescent="0.25">
      <c r="A3443" s="57">
        <v>27112121</v>
      </c>
      <c r="B3443" s="58" t="s">
        <v>11175</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6795</v>
      </c>
    </row>
    <row r="3450" spans="1:2" x14ac:dyDescent="0.25">
      <c r="A3450" s="57">
        <v>27112128</v>
      </c>
      <c r="B3450" s="58" t="s">
        <v>5931</v>
      </c>
    </row>
    <row r="3451" spans="1:2" x14ac:dyDescent="0.25">
      <c r="A3451" s="57">
        <v>27112129</v>
      </c>
      <c r="B3451" s="58" t="s">
        <v>1460</v>
      </c>
    </row>
    <row r="3452" spans="1:2" x14ac:dyDescent="0.25">
      <c r="A3452" s="57">
        <v>27112130</v>
      </c>
      <c r="B3452" s="58" t="s">
        <v>9578</v>
      </c>
    </row>
    <row r="3453" spans="1:2" x14ac:dyDescent="0.25">
      <c r="A3453" s="57">
        <v>27112131</v>
      </c>
      <c r="B3453" s="58" t="s">
        <v>14038</v>
      </c>
    </row>
    <row r="3454" spans="1:2" x14ac:dyDescent="0.25">
      <c r="A3454" s="57">
        <v>27112132</v>
      </c>
      <c r="B3454" s="58" t="s">
        <v>6286</v>
      </c>
    </row>
    <row r="3455" spans="1:2" x14ac:dyDescent="0.25">
      <c r="A3455" s="57">
        <v>27112133</v>
      </c>
      <c r="B3455" s="58" t="s">
        <v>12768</v>
      </c>
    </row>
    <row r="3456" spans="1:2" x14ac:dyDescent="0.25">
      <c r="A3456" s="57">
        <v>27112134</v>
      </c>
      <c r="B3456" s="58" t="s">
        <v>14087</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10182</v>
      </c>
    </row>
    <row r="3462" spans="1:2" x14ac:dyDescent="0.25">
      <c r="A3462" s="57">
        <v>27112302</v>
      </c>
      <c r="B3462" s="58" t="s">
        <v>13552</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13875</v>
      </c>
    </row>
    <row r="3471" spans="1:2" x14ac:dyDescent="0.25">
      <c r="A3471" s="57">
        <v>27112405</v>
      </c>
      <c r="B3471" s="58" t="s">
        <v>11839</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17673</v>
      </c>
    </row>
    <row r="3487" spans="1:2" x14ac:dyDescent="0.25">
      <c r="A3487" s="57">
        <v>27112706</v>
      </c>
      <c r="B3487" s="58" t="s">
        <v>10394</v>
      </c>
    </row>
    <row r="3488" spans="1:2" x14ac:dyDescent="0.25">
      <c r="A3488" s="57">
        <v>27112707</v>
      </c>
      <c r="B3488" s="58" t="s">
        <v>8942</v>
      </c>
    </row>
    <row r="3489" spans="1:2" x14ac:dyDescent="0.25">
      <c r="A3489" s="57">
        <v>27112708</v>
      </c>
      <c r="B3489" s="58" t="s">
        <v>14492</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12366</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9626</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14513</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7759</v>
      </c>
    </row>
    <row r="3512" spans="1:2" x14ac:dyDescent="0.25">
      <c r="A3512" s="57">
        <v>27112810</v>
      </c>
      <c r="B3512" s="58" t="s">
        <v>17402</v>
      </c>
    </row>
    <row r="3513" spans="1:2" x14ac:dyDescent="0.25">
      <c r="A3513" s="57">
        <v>27112811</v>
      </c>
      <c r="B3513" s="58" t="s">
        <v>14486</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14539</v>
      </c>
    </row>
    <row r="3519" spans="1:2" x14ac:dyDescent="0.25">
      <c r="A3519" s="57">
        <v>27112819</v>
      </c>
      <c r="B3519" s="58" t="s">
        <v>8219</v>
      </c>
    </row>
    <row r="3520" spans="1:2" x14ac:dyDescent="0.25">
      <c r="A3520" s="57">
        <v>27112820</v>
      </c>
      <c r="B3520" s="58" t="s">
        <v>11447</v>
      </c>
    </row>
    <row r="3521" spans="1:2" x14ac:dyDescent="0.25">
      <c r="A3521" s="57">
        <v>27112821</v>
      </c>
      <c r="B3521" s="58" t="s">
        <v>3670</v>
      </c>
    </row>
    <row r="3522" spans="1:2" x14ac:dyDescent="0.25">
      <c r="A3522" s="57">
        <v>27112822</v>
      </c>
      <c r="B3522" s="58" t="s">
        <v>17778</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12109</v>
      </c>
    </row>
    <row r="3536" spans="1:2" x14ac:dyDescent="0.25">
      <c r="A3536" s="57">
        <v>27113002</v>
      </c>
      <c r="B3536" s="58" t="s">
        <v>8350</v>
      </c>
    </row>
    <row r="3537" spans="1:2" x14ac:dyDescent="0.25">
      <c r="A3537" s="57">
        <v>27113003</v>
      </c>
      <c r="B3537" s="58" t="s">
        <v>993</v>
      </c>
    </row>
    <row r="3538" spans="1:2" x14ac:dyDescent="0.25">
      <c r="A3538" s="57">
        <v>27113004</v>
      </c>
      <c r="B3538" s="58" t="s">
        <v>10051</v>
      </c>
    </row>
    <row r="3539" spans="1:2" x14ac:dyDescent="0.25">
      <c r="A3539" s="57">
        <v>27113101</v>
      </c>
      <c r="B3539" s="58" t="s">
        <v>9483</v>
      </c>
    </row>
    <row r="3540" spans="1:2" x14ac:dyDescent="0.25">
      <c r="A3540" s="57">
        <v>27113102</v>
      </c>
      <c r="B3540" s="58" t="s">
        <v>2307</v>
      </c>
    </row>
    <row r="3541" spans="1:2" x14ac:dyDescent="0.25">
      <c r="A3541" s="57">
        <v>27113103</v>
      </c>
      <c r="B3541" s="58" t="s">
        <v>13559</v>
      </c>
    </row>
    <row r="3542" spans="1:2" x14ac:dyDescent="0.25">
      <c r="A3542" s="57">
        <v>27113201</v>
      </c>
      <c r="B3542" s="58" t="s">
        <v>9309</v>
      </c>
    </row>
    <row r="3543" spans="1:2" x14ac:dyDescent="0.25">
      <c r="A3543" s="57">
        <v>27113202</v>
      </c>
      <c r="B3543" s="58" t="s">
        <v>14844</v>
      </c>
    </row>
    <row r="3544" spans="1:2" x14ac:dyDescent="0.25">
      <c r="A3544" s="57">
        <v>27113203</v>
      </c>
      <c r="B3544" s="58" t="s">
        <v>14678</v>
      </c>
    </row>
    <row r="3545" spans="1:2" x14ac:dyDescent="0.25">
      <c r="A3545" s="57">
        <v>27113204</v>
      </c>
      <c r="B3545" s="58" t="s">
        <v>8306</v>
      </c>
    </row>
    <row r="3546" spans="1:2" x14ac:dyDescent="0.25">
      <c r="A3546" s="57">
        <v>27121501</v>
      </c>
      <c r="B3546" s="58" t="s">
        <v>17834</v>
      </c>
    </row>
    <row r="3547" spans="1:2" x14ac:dyDescent="0.25">
      <c r="A3547" s="57">
        <v>27121502</v>
      </c>
      <c r="B3547" s="58" t="s">
        <v>15375</v>
      </c>
    </row>
    <row r="3548" spans="1:2" x14ac:dyDescent="0.25">
      <c r="A3548" s="57">
        <v>27121503</v>
      </c>
      <c r="B3548" s="58" t="s">
        <v>8549</v>
      </c>
    </row>
    <row r="3549" spans="1:2" x14ac:dyDescent="0.25">
      <c r="A3549" s="57">
        <v>27121601</v>
      </c>
      <c r="B3549" s="58" t="s">
        <v>11102</v>
      </c>
    </row>
    <row r="3550" spans="1:2" x14ac:dyDescent="0.25">
      <c r="A3550" s="57">
        <v>27121602</v>
      </c>
      <c r="B3550" s="58" t="s">
        <v>18749</v>
      </c>
    </row>
    <row r="3551" spans="1:2" x14ac:dyDescent="0.25">
      <c r="A3551" s="57">
        <v>27121603</v>
      </c>
      <c r="B3551" s="58" t="s">
        <v>18468</v>
      </c>
    </row>
    <row r="3552" spans="1:2" x14ac:dyDescent="0.25">
      <c r="A3552" s="57">
        <v>27121604</v>
      </c>
      <c r="B3552" s="58" t="s">
        <v>7414</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12549</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14438</v>
      </c>
    </row>
    <row r="3561" spans="1:2" x14ac:dyDescent="0.25">
      <c r="A3561" s="57">
        <v>27121707</v>
      </c>
      <c r="B3561" s="58" t="s">
        <v>8213</v>
      </c>
    </row>
    <row r="3562" spans="1:2" x14ac:dyDescent="0.25">
      <c r="A3562" s="57">
        <v>27126101</v>
      </c>
      <c r="B3562" s="58" t="s">
        <v>10315</v>
      </c>
    </row>
    <row r="3563" spans="1:2" x14ac:dyDescent="0.25">
      <c r="A3563" s="57">
        <v>27126102</v>
      </c>
      <c r="B3563" s="58" t="s">
        <v>12808</v>
      </c>
    </row>
    <row r="3564" spans="1:2" x14ac:dyDescent="0.25">
      <c r="A3564" s="57">
        <v>27131501</v>
      </c>
      <c r="B3564" s="58" t="s">
        <v>17415</v>
      </c>
    </row>
    <row r="3565" spans="1:2" x14ac:dyDescent="0.25">
      <c r="A3565" s="57">
        <v>27131502</v>
      </c>
      <c r="B3565" s="58" t="s">
        <v>10705</v>
      </c>
    </row>
    <row r="3566" spans="1:2" x14ac:dyDescent="0.25">
      <c r="A3566" s="57">
        <v>27131504</v>
      </c>
      <c r="B3566" s="58" t="s">
        <v>17172</v>
      </c>
    </row>
    <row r="3567" spans="1:2" x14ac:dyDescent="0.25">
      <c r="A3567" s="57">
        <v>27131505</v>
      </c>
      <c r="B3567" s="58" t="s">
        <v>10552</v>
      </c>
    </row>
    <row r="3568" spans="1:2" x14ac:dyDescent="0.25">
      <c r="A3568" s="57">
        <v>27131506</v>
      </c>
      <c r="B3568" s="58" t="s">
        <v>6241</v>
      </c>
    </row>
    <row r="3569" spans="1:2" x14ac:dyDescent="0.25">
      <c r="A3569" s="57">
        <v>27131507</v>
      </c>
      <c r="B3569" s="58" t="s">
        <v>416</v>
      </c>
    </row>
    <row r="3570" spans="1:2" x14ac:dyDescent="0.25">
      <c r="A3570" s="57">
        <v>27131508</v>
      </c>
      <c r="B3570" s="58" t="s">
        <v>9743</v>
      </c>
    </row>
    <row r="3571" spans="1:2" x14ac:dyDescent="0.25">
      <c r="A3571" s="57">
        <v>27131509</v>
      </c>
      <c r="B3571" s="58" t="s">
        <v>7862</v>
      </c>
    </row>
    <row r="3572" spans="1:2" x14ac:dyDescent="0.25">
      <c r="A3572" s="57">
        <v>27131510</v>
      </c>
      <c r="B3572" s="58" t="s">
        <v>13622</v>
      </c>
    </row>
    <row r="3573" spans="1:2" x14ac:dyDescent="0.25">
      <c r="A3573" s="57">
        <v>27131511</v>
      </c>
      <c r="B3573" s="58" t="s">
        <v>10338</v>
      </c>
    </row>
    <row r="3574" spans="1:2" x14ac:dyDescent="0.25">
      <c r="A3574" s="57">
        <v>27131512</v>
      </c>
      <c r="B3574" s="58" t="s">
        <v>5706</v>
      </c>
    </row>
    <row r="3575" spans="1:2" x14ac:dyDescent="0.25">
      <c r="A3575" s="57">
        <v>27131601</v>
      </c>
      <c r="B3575" s="58" t="s">
        <v>10055</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13088</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9478</v>
      </c>
    </row>
    <row r="3596" spans="1:2" x14ac:dyDescent="0.25">
      <c r="A3596" s="57">
        <v>30101502</v>
      </c>
      <c r="B3596" s="58" t="s">
        <v>17580</v>
      </c>
    </row>
    <row r="3597" spans="1:2" x14ac:dyDescent="0.25">
      <c r="A3597" s="57">
        <v>30101503</v>
      </c>
      <c r="B3597" s="58" t="s">
        <v>17285</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11040</v>
      </c>
    </row>
    <row r="3604" spans="1:2" x14ac:dyDescent="0.25">
      <c r="A3604" s="57">
        <v>30101510</v>
      </c>
      <c r="B3604" s="58" t="s">
        <v>18728</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12582</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14664</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12047</v>
      </c>
    </row>
    <row r="3622" spans="1:2" x14ac:dyDescent="0.25">
      <c r="A3622" s="57">
        <v>30101611</v>
      </c>
      <c r="B3622" s="58" t="s">
        <v>4656</v>
      </c>
    </row>
    <row r="3623" spans="1:2" x14ac:dyDescent="0.25">
      <c r="A3623" s="57">
        <v>30101612</v>
      </c>
      <c r="B3623" s="58" t="s">
        <v>7533</v>
      </c>
    </row>
    <row r="3624" spans="1:2" x14ac:dyDescent="0.25">
      <c r="A3624" s="57">
        <v>30101613</v>
      </c>
      <c r="B3624" s="58" t="s">
        <v>14010</v>
      </c>
    </row>
    <row r="3625" spans="1:2" x14ac:dyDescent="0.25">
      <c r="A3625" s="57">
        <v>30101614</v>
      </c>
      <c r="B3625" s="58" t="s">
        <v>6008</v>
      </c>
    </row>
    <row r="3626" spans="1:2" x14ac:dyDescent="0.25">
      <c r="A3626" s="57">
        <v>30101615</v>
      </c>
      <c r="B3626" s="58" t="s">
        <v>731</v>
      </c>
    </row>
    <row r="3627" spans="1:2" x14ac:dyDescent="0.25">
      <c r="A3627" s="57">
        <v>30101616</v>
      </c>
      <c r="B3627" s="58" t="s">
        <v>12181</v>
      </c>
    </row>
    <row r="3628" spans="1:2" x14ac:dyDescent="0.25">
      <c r="A3628" s="57">
        <v>30101617</v>
      </c>
      <c r="B3628" s="58" t="s">
        <v>16866</v>
      </c>
    </row>
    <row r="3629" spans="1:2" x14ac:dyDescent="0.25">
      <c r="A3629" s="57">
        <v>30101618</v>
      </c>
      <c r="B3629" s="58" t="s">
        <v>14637</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6147</v>
      </c>
    </row>
    <row r="3634" spans="1:2" x14ac:dyDescent="0.25">
      <c r="A3634" s="57">
        <v>30101705</v>
      </c>
      <c r="B3634" s="58" t="s">
        <v>16256</v>
      </c>
    </row>
    <row r="3635" spans="1:2" x14ac:dyDescent="0.25">
      <c r="A3635" s="57">
        <v>30101706</v>
      </c>
      <c r="B3635" s="58" t="s">
        <v>17751</v>
      </c>
    </row>
    <row r="3636" spans="1:2" x14ac:dyDescent="0.25">
      <c r="A3636" s="57">
        <v>30101707</v>
      </c>
      <c r="B3636" s="58" t="s">
        <v>9771</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15556</v>
      </c>
    </row>
    <row r="3655" spans="1:2" x14ac:dyDescent="0.25">
      <c r="A3655" s="57">
        <v>30101808</v>
      </c>
      <c r="B3655" s="58" t="s">
        <v>10301</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11015</v>
      </c>
    </row>
    <row r="3661" spans="1:2" x14ac:dyDescent="0.25">
      <c r="A3661" s="57">
        <v>30101814</v>
      </c>
      <c r="B3661" s="58" t="s">
        <v>7979</v>
      </c>
    </row>
    <row r="3662" spans="1:2" x14ac:dyDescent="0.25">
      <c r="A3662" s="57">
        <v>30101815</v>
      </c>
      <c r="B3662" s="58" t="s">
        <v>11361</v>
      </c>
    </row>
    <row r="3663" spans="1:2" x14ac:dyDescent="0.25">
      <c r="A3663" s="57">
        <v>30101816</v>
      </c>
      <c r="B3663" s="58" t="s">
        <v>13536</v>
      </c>
    </row>
    <row r="3664" spans="1:2" x14ac:dyDescent="0.25">
      <c r="A3664" s="57">
        <v>30101817</v>
      </c>
      <c r="B3664" s="58" t="s">
        <v>7276</v>
      </c>
    </row>
    <row r="3665" spans="1:2" x14ac:dyDescent="0.25">
      <c r="A3665" s="57">
        <v>30101901</v>
      </c>
      <c r="B3665" s="58" t="s">
        <v>11278</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17807</v>
      </c>
    </row>
    <row r="3671" spans="1:2" x14ac:dyDescent="0.25">
      <c r="A3671" s="57">
        <v>30101907</v>
      </c>
      <c r="B3671" s="58" t="s">
        <v>13149</v>
      </c>
    </row>
    <row r="3672" spans="1:2" x14ac:dyDescent="0.25">
      <c r="A3672" s="57">
        <v>30101908</v>
      </c>
      <c r="B3672" s="58" t="s">
        <v>17084</v>
      </c>
    </row>
    <row r="3673" spans="1:2" x14ac:dyDescent="0.25">
      <c r="A3673" s="57">
        <v>30101909</v>
      </c>
      <c r="B3673" s="58" t="s">
        <v>1153</v>
      </c>
    </row>
    <row r="3674" spans="1:2" x14ac:dyDescent="0.25">
      <c r="A3674" s="57">
        <v>30101910</v>
      </c>
      <c r="B3674" s="58" t="s">
        <v>12746</v>
      </c>
    </row>
    <row r="3675" spans="1:2" x14ac:dyDescent="0.25">
      <c r="A3675" s="57">
        <v>30101911</v>
      </c>
      <c r="B3675" s="58" t="s">
        <v>15086</v>
      </c>
    </row>
    <row r="3676" spans="1:2" x14ac:dyDescent="0.25">
      <c r="A3676" s="57">
        <v>30101912</v>
      </c>
      <c r="B3676" s="58" t="s">
        <v>13275</v>
      </c>
    </row>
    <row r="3677" spans="1:2" x14ac:dyDescent="0.25">
      <c r="A3677" s="57">
        <v>30101913</v>
      </c>
      <c r="B3677" s="58" t="s">
        <v>6454</v>
      </c>
    </row>
    <row r="3678" spans="1:2" x14ac:dyDescent="0.25">
      <c r="A3678" s="57">
        <v>30101914</v>
      </c>
      <c r="B3678" s="58" t="s">
        <v>11696</v>
      </c>
    </row>
    <row r="3679" spans="1:2" x14ac:dyDescent="0.25">
      <c r="A3679" s="57">
        <v>30101915</v>
      </c>
      <c r="B3679" s="58" t="s">
        <v>1309</v>
      </c>
    </row>
    <row r="3680" spans="1:2" x14ac:dyDescent="0.25">
      <c r="A3680" s="57">
        <v>30101916</v>
      </c>
      <c r="B3680" s="58" t="s">
        <v>13958</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4580</v>
      </c>
    </row>
    <row r="3686" spans="1:2" x14ac:dyDescent="0.25">
      <c r="A3686" s="57">
        <v>30101923</v>
      </c>
      <c r="B3686" s="58" t="s">
        <v>13180</v>
      </c>
    </row>
    <row r="3687" spans="1:2" x14ac:dyDescent="0.25">
      <c r="A3687" s="57">
        <v>30102001</v>
      </c>
      <c r="B3687" s="58" t="s">
        <v>8670</v>
      </c>
    </row>
    <row r="3688" spans="1:2" x14ac:dyDescent="0.25">
      <c r="A3688" s="57">
        <v>30102002</v>
      </c>
      <c r="B3688" s="58" t="s">
        <v>13096</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11854</v>
      </c>
    </row>
    <row r="3698" spans="1:2" x14ac:dyDescent="0.25">
      <c r="A3698" s="57">
        <v>30102012</v>
      </c>
      <c r="B3698" s="58" t="s">
        <v>10084</v>
      </c>
    </row>
    <row r="3699" spans="1:2" x14ac:dyDescent="0.25">
      <c r="A3699" s="57">
        <v>30102013</v>
      </c>
      <c r="B3699" s="58" t="s">
        <v>5482</v>
      </c>
    </row>
    <row r="3700" spans="1:2" x14ac:dyDescent="0.25">
      <c r="A3700" s="57">
        <v>30102014</v>
      </c>
      <c r="B3700" s="58" t="s">
        <v>12698</v>
      </c>
    </row>
    <row r="3701" spans="1:2" x14ac:dyDescent="0.25">
      <c r="A3701" s="57">
        <v>30102015</v>
      </c>
      <c r="B3701" s="58" t="s">
        <v>14175</v>
      </c>
    </row>
    <row r="3702" spans="1:2" x14ac:dyDescent="0.25">
      <c r="A3702" s="57">
        <v>30102201</v>
      </c>
      <c r="B3702" s="58" t="s">
        <v>17899</v>
      </c>
    </row>
    <row r="3703" spans="1:2" x14ac:dyDescent="0.25">
      <c r="A3703" s="57">
        <v>30102202</v>
      </c>
      <c r="B3703" s="58" t="s">
        <v>13903</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14645</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10606</v>
      </c>
    </row>
    <row r="3714" spans="1:2" x14ac:dyDescent="0.25">
      <c r="A3714" s="57">
        <v>30102213</v>
      </c>
      <c r="B3714" s="58" t="s">
        <v>9502</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12670</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4967</v>
      </c>
    </row>
    <row r="3727" spans="1:2" x14ac:dyDescent="0.25">
      <c r="A3727" s="57">
        <v>30102307</v>
      </c>
      <c r="B3727" s="58" t="s">
        <v>18075</v>
      </c>
    </row>
    <row r="3728" spans="1:2" x14ac:dyDescent="0.25">
      <c r="A3728" s="57">
        <v>30102308</v>
      </c>
      <c r="B3728" s="58" t="s">
        <v>7822</v>
      </c>
    </row>
    <row r="3729" spans="1:2" x14ac:dyDescent="0.25">
      <c r="A3729" s="57">
        <v>30102309</v>
      </c>
      <c r="B3729" s="58" t="s">
        <v>17545</v>
      </c>
    </row>
    <row r="3730" spans="1:2" x14ac:dyDescent="0.25">
      <c r="A3730" s="57">
        <v>30102310</v>
      </c>
      <c r="B3730" s="58" t="s">
        <v>1985</v>
      </c>
    </row>
    <row r="3731" spans="1:2" x14ac:dyDescent="0.25">
      <c r="A3731" s="57">
        <v>30102311</v>
      </c>
      <c r="B3731" s="58" t="s">
        <v>18224</v>
      </c>
    </row>
    <row r="3732" spans="1:2" x14ac:dyDescent="0.25">
      <c r="A3732" s="57">
        <v>30102312</v>
      </c>
      <c r="B3732" s="58" t="s">
        <v>17562</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5948</v>
      </c>
    </row>
    <row r="3740" spans="1:2" x14ac:dyDescent="0.25">
      <c r="A3740" s="57">
        <v>30102404</v>
      </c>
      <c r="B3740" s="58" t="s">
        <v>12152</v>
      </c>
    </row>
    <row r="3741" spans="1:2" x14ac:dyDescent="0.25">
      <c r="A3741" s="57">
        <v>30102405</v>
      </c>
      <c r="B3741" s="58" t="s">
        <v>18533</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8710</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9442</v>
      </c>
    </row>
    <row r="3768" spans="1:2" x14ac:dyDescent="0.25">
      <c r="A3768" s="57">
        <v>30102515</v>
      </c>
      <c r="B3768" s="58" t="s">
        <v>13457</v>
      </c>
    </row>
    <row r="3769" spans="1:2" x14ac:dyDescent="0.25">
      <c r="A3769" s="57">
        <v>30102516</v>
      </c>
      <c r="B3769" s="58" t="s">
        <v>11961</v>
      </c>
    </row>
    <row r="3770" spans="1:2" x14ac:dyDescent="0.25">
      <c r="A3770" s="57">
        <v>30102517</v>
      </c>
      <c r="B3770" s="58" t="s">
        <v>13893</v>
      </c>
    </row>
    <row r="3771" spans="1:2" x14ac:dyDescent="0.25">
      <c r="A3771" s="57">
        <v>30102518</v>
      </c>
      <c r="B3771" s="58" t="s">
        <v>11795</v>
      </c>
    </row>
    <row r="3772" spans="1:2" x14ac:dyDescent="0.25">
      <c r="A3772" s="57">
        <v>30102519</v>
      </c>
      <c r="B3772" s="58" t="s">
        <v>13584</v>
      </c>
    </row>
    <row r="3773" spans="1:2" x14ac:dyDescent="0.25">
      <c r="A3773" s="57">
        <v>30102520</v>
      </c>
      <c r="B3773" s="58" t="s">
        <v>11303</v>
      </c>
    </row>
    <row r="3774" spans="1:2" x14ac:dyDescent="0.25">
      <c r="A3774" s="57">
        <v>30102521</v>
      </c>
      <c r="B3774" s="58" t="s">
        <v>17555</v>
      </c>
    </row>
    <row r="3775" spans="1:2" x14ac:dyDescent="0.25">
      <c r="A3775" s="57">
        <v>30102522</v>
      </c>
      <c r="B3775" s="58" t="s">
        <v>14733</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6182</v>
      </c>
    </row>
    <row r="3782" spans="1:2" x14ac:dyDescent="0.25">
      <c r="A3782" s="57">
        <v>30102603</v>
      </c>
      <c r="B3782" s="58" t="s">
        <v>6001</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17855</v>
      </c>
    </row>
    <row r="3788" spans="1:2" x14ac:dyDescent="0.25">
      <c r="A3788" s="57">
        <v>30102609</v>
      </c>
      <c r="B3788" s="58" t="s">
        <v>18127</v>
      </c>
    </row>
    <row r="3789" spans="1:2" x14ac:dyDescent="0.25">
      <c r="A3789" s="57">
        <v>30102610</v>
      </c>
      <c r="B3789" s="58" t="s">
        <v>9368</v>
      </c>
    </row>
    <row r="3790" spans="1:2" x14ac:dyDescent="0.25">
      <c r="A3790" s="57">
        <v>30102611</v>
      </c>
      <c r="B3790" s="58" t="s">
        <v>3965</v>
      </c>
    </row>
    <row r="3791" spans="1:2" x14ac:dyDescent="0.25">
      <c r="A3791" s="57">
        <v>30102612</v>
      </c>
      <c r="B3791" s="58" t="s">
        <v>13314</v>
      </c>
    </row>
    <row r="3792" spans="1:2" x14ac:dyDescent="0.25">
      <c r="A3792" s="57">
        <v>30102613</v>
      </c>
      <c r="B3792" s="58" t="s">
        <v>8908</v>
      </c>
    </row>
    <row r="3793" spans="1:2" x14ac:dyDescent="0.25">
      <c r="A3793" s="57">
        <v>30102614</v>
      </c>
      <c r="B3793" s="58" t="s">
        <v>16654</v>
      </c>
    </row>
    <row r="3794" spans="1:2" x14ac:dyDescent="0.25">
      <c r="A3794" s="57">
        <v>30102615</v>
      </c>
      <c r="B3794" s="58" t="s">
        <v>14188</v>
      </c>
    </row>
    <row r="3795" spans="1:2" x14ac:dyDescent="0.25">
      <c r="A3795" s="57">
        <v>30102616</v>
      </c>
      <c r="B3795" s="58" t="s">
        <v>11709</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12043</v>
      </c>
    </row>
    <row r="3800" spans="1:2" x14ac:dyDescent="0.25">
      <c r="A3800" s="57">
        <v>30102903</v>
      </c>
      <c r="B3800" s="58" t="s">
        <v>18774</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17837</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13344</v>
      </c>
    </row>
    <row r="3812" spans="1:2" x14ac:dyDescent="0.25">
      <c r="A3812" s="57">
        <v>30103204</v>
      </c>
      <c r="B3812" s="58" t="s">
        <v>17612</v>
      </c>
    </row>
    <row r="3813" spans="1:2" x14ac:dyDescent="0.25">
      <c r="A3813" s="57">
        <v>30103205</v>
      </c>
      <c r="B3813" s="58" t="s">
        <v>11210</v>
      </c>
    </row>
    <row r="3814" spans="1:2" x14ac:dyDescent="0.25">
      <c r="A3814" s="57">
        <v>30103206</v>
      </c>
      <c r="B3814" s="58" t="s">
        <v>18826</v>
      </c>
    </row>
    <row r="3815" spans="1:2" x14ac:dyDescent="0.25">
      <c r="A3815" s="57">
        <v>30103301</v>
      </c>
      <c r="B3815" s="58" t="s">
        <v>5219</v>
      </c>
    </row>
    <row r="3816" spans="1:2" x14ac:dyDescent="0.25">
      <c r="A3816" s="57">
        <v>30103302</v>
      </c>
      <c r="B3816" s="58" t="s">
        <v>12205</v>
      </c>
    </row>
    <row r="3817" spans="1:2" x14ac:dyDescent="0.25">
      <c r="A3817" s="57">
        <v>30103303</v>
      </c>
      <c r="B3817" s="58" t="s">
        <v>14453</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11801</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17766</v>
      </c>
    </row>
    <row r="3833" spans="1:2" x14ac:dyDescent="0.25">
      <c r="A3833" s="57">
        <v>30103406</v>
      </c>
      <c r="B3833" s="58" t="s">
        <v>1647</v>
      </c>
    </row>
    <row r="3834" spans="1:2" x14ac:dyDescent="0.25">
      <c r="A3834" s="57">
        <v>30103407</v>
      </c>
      <c r="B3834" s="58" t="s">
        <v>12233</v>
      </c>
    </row>
    <row r="3835" spans="1:2" x14ac:dyDescent="0.25">
      <c r="A3835" s="57">
        <v>30103408</v>
      </c>
      <c r="B3835" s="58" t="s">
        <v>6469</v>
      </c>
    </row>
    <row r="3836" spans="1:2" x14ac:dyDescent="0.25">
      <c r="A3836" s="57">
        <v>30103409</v>
      </c>
      <c r="B3836" s="58" t="s">
        <v>2184</v>
      </c>
    </row>
    <row r="3837" spans="1:2" x14ac:dyDescent="0.25">
      <c r="A3837" s="57">
        <v>30103410</v>
      </c>
      <c r="B3837" s="58" t="s">
        <v>6262</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14106</v>
      </c>
    </row>
    <row r="3842" spans="1:2" x14ac:dyDescent="0.25">
      <c r="A3842" s="57">
        <v>30103502</v>
      </c>
      <c r="B3842" s="58" t="s">
        <v>1202</v>
      </c>
    </row>
    <row r="3843" spans="1:2" x14ac:dyDescent="0.25">
      <c r="A3843" s="57">
        <v>30103503</v>
      </c>
      <c r="B3843" s="58" t="s">
        <v>13055</v>
      </c>
    </row>
    <row r="3844" spans="1:2" x14ac:dyDescent="0.25">
      <c r="A3844" s="57">
        <v>30103504</v>
      </c>
      <c r="B3844" s="58" t="s">
        <v>15534</v>
      </c>
    </row>
    <row r="3845" spans="1:2" x14ac:dyDescent="0.25">
      <c r="A3845" s="57">
        <v>30103505</v>
      </c>
      <c r="B3845" s="58" t="s">
        <v>12650</v>
      </c>
    </row>
    <row r="3846" spans="1:2" x14ac:dyDescent="0.25">
      <c r="A3846" s="57">
        <v>30103506</v>
      </c>
      <c r="B3846" s="58" t="s">
        <v>8970</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7550</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6808</v>
      </c>
    </row>
    <row r="3859" spans="1:2" x14ac:dyDescent="0.25">
      <c r="A3859" s="57">
        <v>30103604</v>
      </c>
      <c r="B3859" s="58" t="s">
        <v>18416</v>
      </c>
    </row>
    <row r="3860" spans="1:2" x14ac:dyDescent="0.25">
      <c r="A3860" s="57">
        <v>30103605</v>
      </c>
      <c r="B3860" s="58" t="s">
        <v>11530</v>
      </c>
    </row>
    <row r="3861" spans="1:2" x14ac:dyDescent="0.25">
      <c r="A3861" s="57">
        <v>30103606</v>
      </c>
      <c r="B3861" s="58" t="s">
        <v>15136</v>
      </c>
    </row>
    <row r="3862" spans="1:2" x14ac:dyDescent="0.25">
      <c r="A3862" s="57">
        <v>30103607</v>
      </c>
      <c r="B3862" s="58" t="s">
        <v>8686</v>
      </c>
    </row>
    <row r="3863" spans="1:2" x14ac:dyDescent="0.25">
      <c r="A3863" s="57">
        <v>30103608</v>
      </c>
      <c r="B3863" s="58" t="s">
        <v>11331</v>
      </c>
    </row>
    <row r="3864" spans="1:2" x14ac:dyDescent="0.25">
      <c r="A3864" s="57">
        <v>30103701</v>
      </c>
      <c r="B3864" s="58" t="s">
        <v>5272</v>
      </c>
    </row>
    <row r="3865" spans="1:2" x14ac:dyDescent="0.25">
      <c r="A3865" s="57">
        <v>30111501</v>
      </c>
      <c r="B3865" s="58" t="s">
        <v>9200</v>
      </c>
    </row>
    <row r="3866" spans="1:2" x14ac:dyDescent="0.25">
      <c r="A3866" s="57">
        <v>30111502</v>
      </c>
      <c r="B3866" s="58" t="s">
        <v>11264</v>
      </c>
    </row>
    <row r="3867" spans="1:2" x14ac:dyDescent="0.25">
      <c r="A3867" s="57">
        <v>30111503</v>
      </c>
      <c r="B3867" s="58" t="s">
        <v>15001</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18694</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13368</v>
      </c>
    </row>
    <row r="3878" spans="1:2" x14ac:dyDescent="0.25">
      <c r="A3878" s="57">
        <v>30121503</v>
      </c>
      <c r="B3878" s="58" t="s">
        <v>5791</v>
      </c>
    </row>
    <row r="3879" spans="1:2" x14ac:dyDescent="0.25">
      <c r="A3879" s="57">
        <v>30121601</v>
      </c>
      <c r="B3879" s="58" t="s">
        <v>10459</v>
      </c>
    </row>
    <row r="3880" spans="1:2" x14ac:dyDescent="0.25">
      <c r="A3880" s="57">
        <v>30121602</v>
      </c>
      <c r="B3880" s="58" t="s">
        <v>17363</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14311</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3970</v>
      </c>
    </row>
    <row r="3900" spans="1:2" x14ac:dyDescent="0.25">
      <c r="A3900" s="57">
        <v>30141508</v>
      </c>
      <c r="B3900" s="58" t="s">
        <v>5596</v>
      </c>
    </row>
    <row r="3901" spans="1:2" x14ac:dyDescent="0.25">
      <c r="A3901" s="57">
        <v>30141510</v>
      </c>
      <c r="B3901" s="58" t="s">
        <v>11786</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12547</v>
      </c>
    </row>
    <row r="3908" spans="1:2" x14ac:dyDescent="0.25">
      <c r="A3908" s="57">
        <v>30151501</v>
      </c>
      <c r="B3908" s="58" t="s">
        <v>13258</v>
      </c>
    </row>
    <row r="3909" spans="1:2" x14ac:dyDescent="0.25">
      <c r="A3909" s="57">
        <v>30151502</v>
      </c>
      <c r="B3909" s="58" t="s">
        <v>6522</v>
      </c>
    </row>
    <row r="3910" spans="1:2" x14ac:dyDescent="0.25">
      <c r="A3910" s="57">
        <v>30151503</v>
      </c>
      <c r="B3910" s="58" t="s">
        <v>10006</v>
      </c>
    </row>
    <row r="3911" spans="1:2" x14ac:dyDescent="0.25">
      <c r="A3911" s="57">
        <v>30151504</v>
      </c>
      <c r="B3911" s="58" t="s">
        <v>8652</v>
      </c>
    </row>
    <row r="3912" spans="1:2" x14ac:dyDescent="0.25">
      <c r="A3912" s="57">
        <v>30151505</v>
      </c>
      <c r="B3912" s="58" t="s">
        <v>12881</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13986</v>
      </c>
    </row>
    <row r="3917" spans="1:2" x14ac:dyDescent="0.25">
      <c r="A3917" s="57">
        <v>30151510</v>
      </c>
      <c r="B3917" s="58" t="s">
        <v>12258</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11328</v>
      </c>
    </row>
    <row r="3929" spans="1:2" x14ac:dyDescent="0.25">
      <c r="A3929" s="57">
        <v>30151702</v>
      </c>
      <c r="B3929" s="58" t="s">
        <v>10266</v>
      </c>
    </row>
    <row r="3930" spans="1:2" x14ac:dyDescent="0.25">
      <c r="A3930" s="57">
        <v>30151703</v>
      </c>
      <c r="B3930" s="58" t="s">
        <v>5528</v>
      </c>
    </row>
    <row r="3931" spans="1:2" x14ac:dyDescent="0.25">
      <c r="A3931" s="57">
        <v>30151704</v>
      </c>
      <c r="B3931" s="58" t="s">
        <v>11968</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10136</v>
      </c>
    </row>
    <row r="3939" spans="1:2" x14ac:dyDescent="0.25">
      <c r="A3939" s="57">
        <v>30151902</v>
      </c>
      <c r="B3939" s="58" t="s">
        <v>8057</v>
      </c>
    </row>
    <row r="3940" spans="1:2" x14ac:dyDescent="0.25">
      <c r="A3940" s="57">
        <v>30152001</v>
      </c>
      <c r="B3940" s="58" t="s">
        <v>14027</v>
      </c>
    </row>
    <row r="3941" spans="1:2" x14ac:dyDescent="0.25">
      <c r="A3941" s="57">
        <v>30152002</v>
      </c>
      <c r="B3941" s="58" t="s">
        <v>17829</v>
      </c>
    </row>
    <row r="3942" spans="1:2" x14ac:dyDescent="0.25">
      <c r="A3942" s="57">
        <v>30152003</v>
      </c>
      <c r="B3942" s="58" t="s">
        <v>5480</v>
      </c>
    </row>
    <row r="3943" spans="1:2" x14ac:dyDescent="0.25">
      <c r="A3943" s="57">
        <v>30152101</v>
      </c>
      <c r="B3943" s="58" t="s">
        <v>8662</v>
      </c>
    </row>
    <row r="3944" spans="1:2" x14ac:dyDescent="0.25">
      <c r="A3944" s="57">
        <v>30161501</v>
      </c>
      <c r="B3944" s="58" t="s">
        <v>11730</v>
      </c>
    </row>
    <row r="3945" spans="1:2" x14ac:dyDescent="0.25">
      <c r="A3945" s="57">
        <v>30161502</v>
      </c>
      <c r="B3945" s="58" t="s">
        <v>13220</v>
      </c>
    </row>
    <row r="3946" spans="1:2" x14ac:dyDescent="0.25">
      <c r="A3946" s="57">
        <v>30161503</v>
      </c>
      <c r="B3946" s="58" t="s">
        <v>6133</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12664</v>
      </c>
    </row>
    <row r="3958" spans="1:2" x14ac:dyDescent="0.25">
      <c r="A3958" s="57">
        <v>30161703</v>
      </c>
      <c r="B3958" s="58" t="s">
        <v>17420</v>
      </c>
    </row>
    <row r="3959" spans="1:2" x14ac:dyDescent="0.25">
      <c r="A3959" s="57">
        <v>30161705</v>
      </c>
      <c r="B3959" s="58" t="s">
        <v>18091</v>
      </c>
    </row>
    <row r="3960" spans="1:2" x14ac:dyDescent="0.25">
      <c r="A3960" s="57">
        <v>30161706</v>
      </c>
      <c r="B3960" s="58" t="s">
        <v>2373</v>
      </c>
    </row>
    <row r="3961" spans="1:2" x14ac:dyDescent="0.25">
      <c r="A3961" s="57">
        <v>30161707</v>
      </c>
      <c r="B3961" s="58" t="s">
        <v>10250</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6087</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18751</v>
      </c>
    </row>
    <row r="3982" spans="1:2" x14ac:dyDescent="0.25">
      <c r="A3982" s="57">
        <v>30161907</v>
      </c>
      <c r="B3982" s="58" t="s">
        <v>4334</v>
      </c>
    </row>
    <row r="3983" spans="1:2" x14ac:dyDescent="0.25">
      <c r="A3983" s="57">
        <v>30161908</v>
      </c>
      <c r="B3983" s="58" t="s">
        <v>15545</v>
      </c>
    </row>
    <row r="3984" spans="1:2" x14ac:dyDescent="0.25">
      <c r="A3984" s="57">
        <v>30171501</v>
      </c>
      <c r="B3984" s="58" t="s">
        <v>14236</v>
      </c>
    </row>
    <row r="3985" spans="1:2" x14ac:dyDescent="0.25">
      <c r="A3985" s="57">
        <v>30171502</v>
      </c>
      <c r="B3985" s="58" t="s">
        <v>17865</v>
      </c>
    </row>
    <row r="3986" spans="1:2" x14ac:dyDescent="0.25">
      <c r="A3986" s="57">
        <v>30171503</v>
      </c>
      <c r="B3986" s="58" t="s">
        <v>13888</v>
      </c>
    </row>
    <row r="3987" spans="1:2" x14ac:dyDescent="0.25">
      <c r="A3987" s="57">
        <v>30171504</v>
      </c>
      <c r="B3987" s="58" t="s">
        <v>6975</v>
      </c>
    </row>
    <row r="3988" spans="1:2" x14ac:dyDescent="0.25">
      <c r="A3988" s="57">
        <v>30171505</v>
      </c>
      <c r="B3988" s="58" t="s">
        <v>16418</v>
      </c>
    </row>
    <row r="3989" spans="1:2" x14ac:dyDescent="0.25">
      <c r="A3989" s="57">
        <v>30171506</v>
      </c>
      <c r="B3989" s="58" t="s">
        <v>13426</v>
      </c>
    </row>
    <row r="3990" spans="1:2" x14ac:dyDescent="0.25">
      <c r="A3990" s="57">
        <v>30171507</v>
      </c>
      <c r="B3990" s="58" t="s">
        <v>4544</v>
      </c>
    </row>
    <row r="3991" spans="1:2" x14ac:dyDescent="0.25">
      <c r="A3991" s="57">
        <v>30171508</v>
      </c>
      <c r="B3991" s="58" t="s">
        <v>6063</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12414</v>
      </c>
    </row>
    <row r="4001" spans="1:2" x14ac:dyDescent="0.25">
      <c r="A4001" s="57">
        <v>30171607</v>
      </c>
      <c r="B4001" s="58" t="s">
        <v>14417</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18087</v>
      </c>
    </row>
    <row r="4006" spans="1:2" x14ac:dyDescent="0.25">
      <c r="A4006" s="57">
        <v>30171612</v>
      </c>
      <c r="B4006" s="58" t="s">
        <v>5307</v>
      </c>
    </row>
    <row r="4007" spans="1:2" x14ac:dyDescent="0.25">
      <c r="A4007" s="57">
        <v>30171613</v>
      </c>
      <c r="B4007" s="58" t="s">
        <v>6271</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12778</v>
      </c>
    </row>
    <row r="4012" spans="1:2" x14ac:dyDescent="0.25">
      <c r="A4012" s="57">
        <v>30171704</v>
      </c>
      <c r="B4012" s="58" t="s">
        <v>9443</v>
      </c>
    </row>
    <row r="4013" spans="1:2" x14ac:dyDescent="0.25">
      <c r="A4013" s="57">
        <v>30171705</v>
      </c>
      <c r="B4013" s="58" t="s">
        <v>15994</v>
      </c>
    </row>
    <row r="4014" spans="1:2" x14ac:dyDescent="0.25">
      <c r="A4014" s="57">
        <v>30171706</v>
      </c>
      <c r="B4014" s="58" t="s">
        <v>14362</v>
      </c>
    </row>
    <row r="4015" spans="1:2" x14ac:dyDescent="0.25">
      <c r="A4015" s="57">
        <v>30171707</v>
      </c>
      <c r="B4015" s="58" t="s">
        <v>11829</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9770</v>
      </c>
    </row>
    <row r="4020" spans="1:2" x14ac:dyDescent="0.25">
      <c r="A4020" s="57">
        <v>30171803</v>
      </c>
      <c r="B4020" s="58" t="s">
        <v>9181</v>
      </c>
    </row>
    <row r="4021" spans="1:2" x14ac:dyDescent="0.25">
      <c r="A4021" s="57">
        <v>30171901</v>
      </c>
      <c r="B4021" s="58" t="s">
        <v>6020</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4928</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17559</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17588</v>
      </c>
    </row>
    <row r="4056" spans="1:2" x14ac:dyDescent="0.25">
      <c r="A4056" s="57">
        <v>30201605</v>
      </c>
      <c r="B4056" s="58" t="s">
        <v>7595</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12072</v>
      </c>
    </row>
    <row r="4066" spans="1:2" x14ac:dyDescent="0.25">
      <c r="A4066" s="57">
        <v>30201710</v>
      </c>
      <c r="B4066" s="58" t="s">
        <v>12666</v>
      </c>
    </row>
    <row r="4067" spans="1:2" x14ac:dyDescent="0.25">
      <c r="A4067" s="57">
        <v>30201711</v>
      </c>
      <c r="B4067" s="58" t="s">
        <v>17530</v>
      </c>
    </row>
    <row r="4068" spans="1:2" x14ac:dyDescent="0.25">
      <c r="A4068" s="57">
        <v>30201712</v>
      </c>
      <c r="B4068" s="58" t="s">
        <v>1685</v>
      </c>
    </row>
    <row r="4069" spans="1:2" x14ac:dyDescent="0.25">
      <c r="A4069" s="57">
        <v>30201801</v>
      </c>
      <c r="B4069" s="58" t="s">
        <v>17685</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9773</v>
      </c>
    </row>
    <row r="4078" spans="1:2" x14ac:dyDescent="0.25">
      <c r="A4078" s="57">
        <v>30221003</v>
      </c>
      <c r="B4078" s="58" t="s">
        <v>7106</v>
      </c>
    </row>
    <row r="4079" spans="1:2" x14ac:dyDescent="0.25">
      <c r="A4079" s="57">
        <v>30221004</v>
      </c>
      <c r="B4079" s="58" t="s">
        <v>14621</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17343</v>
      </c>
    </row>
    <row r="4087" spans="1:2" x14ac:dyDescent="0.25">
      <c r="A4087" s="57">
        <v>30221013</v>
      </c>
      <c r="B4087" s="58" t="s">
        <v>2449</v>
      </c>
    </row>
    <row r="4088" spans="1:2" x14ac:dyDescent="0.25">
      <c r="A4088" s="57">
        <v>30221014</v>
      </c>
      <c r="B4088" s="58" t="s">
        <v>2969</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7614</v>
      </c>
    </row>
    <row r="4097" spans="1:2" x14ac:dyDescent="0.25">
      <c r="A4097" s="57">
        <v>30222009</v>
      </c>
      <c r="B4097" s="58" t="s">
        <v>9870</v>
      </c>
    </row>
    <row r="4098" spans="1:2" x14ac:dyDescent="0.25">
      <c r="A4098" s="57">
        <v>30222010</v>
      </c>
      <c r="B4098" s="58" t="s">
        <v>3469</v>
      </c>
    </row>
    <row r="4099" spans="1:2" x14ac:dyDescent="0.25">
      <c r="A4099" s="57">
        <v>30222011</v>
      </c>
      <c r="B4099" s="58" t="s">
        <v>5698</v>
      </c>
    </row>
    <row r="4100" spans="1:2" x14ac:dyDescent="0.25">
      <c r="A4100" s="57">
        <v>30222012</v>
      </c>
      <c r="B4100" s="58" t="s">
        <v>10508</v>
      </c>
    </row>
    <row r="4101" spans="1:2" x14ac:dyDescent="0.25">
      <c r="A4101" s="57">
        <v>30222013</v>
      </c>
      <c r="B4101" s="58" t="s">
        <v>12772</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12454</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6078</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11520</v>
      </c>
    </row>
    <row r="4124" spans="1:2" x14ac:dyDescent="0.25">
      <c r="A4124" s="57">
        <v>30222036</v>
      </c>
      <c r="B4124" s="58" t="s">
        <v>12668</v>
      </c>
    </row>
    <row r="4125" spans="1:2" x14ac:dyDescent="0.25">
      <c r="A4125" s="57">
        <v>30222037</v>
      </c>
      <c r="B4125" s="58" t="s">
        <v>17703</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4572</v>
      </c>
    </row>
    <row r="4134" spans="1:2" x14ac:dyDescent="0.25">
      <c r="A4134" s="57">
        <v>30222046</v>
      </c>
      <c r="B4134" s="58" t="s">
        <v>17742</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14327</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12508</v>
      </c>
    </row>
    <row r="4147" spans="1:2" x14ac:dyDescent="0.25">
      <c r="A4147" s="57">
        <v>30222059</v>
      </c>
      <c r="B4147" s="58" t="s">
        <v>5071</v>
      </c>
    </row>
    <row r="4148" spans="1:2" x14ac:dyDescent="0.25">
      <c r="A4148" s="57">
        <v>30222060</v>
      </c>
      <c r="B4148" s="58" t="s">
        <v>15011</v>
      </c>
    </row>
    <row r="4149" spans="1:2" x14ac:dyDescent="0.25">
      <c r="A4149" s="57">
        <v>30222061</v>
      </c>
      <c r="B4149" s="58" t="s">
        <v>18671</v>
      </c>
    </row>
    <row r="4150" spans="1:2" x14ac:dyDescent="0.25">
      <c r="A4150" s="57">
        <v>30222063</v>
      </c>
      <c r="B4150" s="58" t="s">
        <v>5906</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12861</v>
      </c>
    </row>
    <row r="4157" spans="1:2" x14ac:dyDescent="0.25">
      <c r="A4157" s="57">
        <v>30222107</v>
      </c>
      <c r="B4157" s="58" t="s">
        <v>6460</v>
      </c>
    </row>
    <row r="4158" spans="1:2" x14ac:dyDescent="0.25">
      <c r="A4158" s="57">
        <v>30222108</v>
      </c>
      <c r="B4158" s="58" t="s">
        <v>5856</v>
      </c>
    </row>
    <row r="4159" spans="1:2" x14ac:dyDescent="0.25">
      <c r="A4159" s="57">
        <v>30222109</v>
      </c>
      <c r="B4159" s="58" t="s">
        <v>7096</v>
      </c>
    </row>
    <row r="4160" spans="1:2" x14ac:dyDescent="0.25">
      <c r="A4160" s="57">
        <v>30222110</v>
      </c>
      <c r="B4160" s="58" t="s">
        <v>9875</v>
      </c>
    </row>
    <row r="4161" spans="1:2" x14ac:dyDescent="0.25">
      <c r="A4161" s="57">
        <v>30222111</v>
      </c>
      <c r="B4161" s="58" t="s">
        <v>15406</v>
      </c>
    </row>
    <row r="4162" spans="1:2" x14ac:dyDescent="0.25">
      <c r="A4162" s="57">
        <v>30222112</v>
      </c>
      <c r="B4162" s="58" t="s">
        <v>17958</v>
      </c>
    </row>
    <row r="4163" spans="1:2" x14ac:dyDescent="0.25">
      <c r="A4163" s="57">
        <v>30222113</v>
      </c>
      <c r="B4163" s="58" t="s">
        <v>17509</v>
      </c>
    </row>
    <row r="4164" spans="1:2" x14ac:dyDescent="0.25">
      <c r="A4164" s="57">
        <v>30222114</v>
      </c>
      <c r="B4164" s="58" t="s">
        <v>4326</v>
      </c>
    </row>
    <row r="4165" spans="1:2" x14ac:dyDescent="0.25">
      <c r="A4165" s="57">
        <v>30222115</v>
      </c>
      <c r="B4165" s="58" t="s">
        <v>11740</v>
      </c>
    </row>
    <row r="4166" spans="1:2" x14ac:dyDescent="0.25">
      <c r="A4166" s="57">
        <v>30222116</v>
      </c>
      <c r="B4166" s="58" t="s">
        <v>5305</v>
      </c>
    </row>
    <row r="4167" spans="1:2" x14ac:dyDescent="0.25">
      <c r="A4167" s="57">
        <v>30222201</v>
      </c>
      <c r="B4167" s="58" t="s">
        <v>13115</v>
      </c>
    </row>
    <row r="4168" spans="1:2" x14ac:dyDescent="0.25">
      <c r="A4168" s="57">
        <v>30222202</v>
      </c>
      <c r="B4168" s="58" t="s">
        <v>18686</v>
      </c>
    </row>
    <row r="4169" spans="1:2" x14ac:dyDescent="0.25">
      <c r="A4169" s="57">
        <v>30222203</v>
      </c>
      <c r="B4169" s="58" t="s">
        <v>17350</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9298</v>
      </c>
    </row>
    <row r="4177" spans="1:2" x14ac:dyDescent="0.25">
      <c r="A4177" s="57">
        <v>30222303</v>
      </c>
      <c r="B4177" s="58" t="s">
        <v>9812</v>
      </c>
    </row>
    <row r="4178" spans="1:2" x14ac:dyDescent="0.25">
      <c r="A4178" s="57">
        <v>30222304</v>
      </c>
      <c r="B4178" s="58" t="s">
        <v>11185</v>
      </c>
    </row>
    <row r="4179" spans="1:2" x14ac:dyDescent="0.25">
      <c r="A4179" s="57">
        <v>30222305</v>
      </c>
      <c r="B4179" s="58" t="s">
        <v>4361</v>
      </c>
    </row>
    <row r="4180" spans="1:2" x14ac:dyDescent="0.25">
      <c r="A4180" s="57">
        <v>30222306</v>
      </c>
      <c r="B4180" s="58" t="s">
        <v>12016</v>
      </c>
    </row>
    <row r="4181" spans="1:2" x14ac:dyDescent="0.25">
      <c r="A4181" s="57">
        <v>30222307</v>
      </c>
      <c r="B4181" s="58" t="s">
        <v>15839</v>
      </c>
    </row>
    <row r="4182" spans="1:2" x14ac:dyDescent="0.25">
      <c r="A4182" s="57">
        <v>30222308</v>
      </c>
      <c r="B4182" s="58" t="s">
        <v>2528</v>
      </c>
    </row>
    <row r="4183" spans="1:2" x14ac:dyDescent="0.25">
      <c r="A4183" s="57">
        <v>30222309</v>
      </c>
      <c r="B4183" s="58" t="s">
        <v>10033</v>
      </c>
    </row>
    <row r="4184" spans="1:2" x14ac:dyDescent="0.25">
      <c r="A4184" s="57">
        <v>30222401</v>
      </c>
      <c r="B4184" s="58" t="s">
        <v>7164</v>
      </c>
    </row>
    <row r="4185" spans="1:2" x14ac:dyDescent="0.25">
      <c r="A4185" s="57">
        <v>30222402</v>
      </c>
      <c r="B4185" s="58" t="s">
        <v>13245</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14112</v>
      </c>
    </row>
    <row r="4198" spans="1:2" x14ac:dyDescent="0.25">
      <c r="A4198" s="57">
        <v>30222506</v>
      </c>
      <c r="B4198" s="58" t="s">
        <v>8965</v>
      </c>
    </row>
    <row r="4199" spans="1:2" x14ac:dyDescent="0.25">
      <c r="A4199" s="57">
        <v>30222507</v>
      </c>
      <c r="B4199" s="58" t="s">
        <v>8101</v>
      </c>
    </row>
    <row r="4200" spans="1:2" x14ac:dyDescent="0.25">
      <c r="A4200" s="57">
        <v>30222601</v>
      </c>
      <c r="B4200" s="58" t="s">
        <v>14723</v>
      </c>
    </row>
    <row r="4201" spans="1:2" x14ac:dyDescent="0.25">
      <c r="A4201" s="57">
        <v>30222602</v>
      </c>
      <c r="B4201" s="58" t="s">
        <v>17468</v>
      </c>
    </row>
    <row r="4202" spans="1:2" x14ac:dyDescent="0.25">
      <c r="A4202" s="57">
        <v>30222603</v>
      </c>
      <c r="B4202" s="58" t="s">
        <v>2705</v>
      </c>
    </row>
    <row r="4203" spans="1:2" x14ac:dyDescent="0.25">
      <c r="A4203" s="57">
        <v>30222604</v>
      </c>
      <c r="B4203" s="58" t="s">
        <v>8121</v>
      </c>
    </row>
    <row r="4204" spans="1:2" x14ac:dyDescent="0.25">
      <c r="A4204" s="57">
        <v>30222605</v>
      </c>
      <c r="B4204" s="58" t="s">
        <v>14254</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17442</v>
      </c>
    </row>
    <row r="4210" spans="1:2" x14ac:dyDescent="0.25">
      <c r="A4210" s="57">
        <v>30222703</v>
      </c>
      <c r="B4210" s="58" t="s">
        <v>2402</v>
      </c>
    </row>
    <row r="4211" spans="1:2" x14ac:dyDescent="0.25">
      <c r="A4211" s="57">
        <v>30222801</v>
      </c>
      <c r="B4211" s="58" t="s">
        <v>1868</v>
      </c>
    </row>
    <row r="4212" spans="1:2" x14ac:dyDescent="0.25">
      <c r="A4212" s="57">
        <v>30222802</v>
      </c>
      <c r="B4212" s="58" t="s">
        <v>18702</v>
      </c>
    </row>
    <row r="4213" spans="1:2" x14ac:dyDescent="0.25">
      <c r="A4213" s="57">
        <v>30222803</v>
      </c>
      <c r="B4213" s="58" t="s">
        <v>7142</v>
      </c>
    </row>
    <row r="4214" spans="1:2" x14ac:dyDescent="0.25">
      <c r="A4214" s="57">
        <v>30222901</v>
      </c>
      <c r="B4214" s="58" t="s">
        <v>11340</v>
      </c>
    </row>
    <row r="4215" spans="1:2" x14ac:dyDescent="0.25">
      <c r="A4215" s="57">
        <v>30222902</v>
      </c>
      <c r="B4215" s="58" t="s">
        <v>16869</v>
      </c>
    </row>
    <row r="4216" spans="1:2" x14ac:dyDescent="0.25">
      <c r="A4216" s="57">
        <v>30222903</v>
      </c>
      <c r="B4216" s="58" t="s">
        <v>7054</v>
      </c>
    </row>
    <row r="4217" spans="1:2" x14ac:dyDescent="0.25">
      <c r="A4217" s="57">
        <v>30222904</v>
      </c>
      <c r="B4217" s="58" t="s">
        <v>13720</v>
      </c>
    </row>
    <row r="4218" spans="1:2" x14ac:dyDescent="0.25">
      <c r="A4218" s="57">
        <v>30223001</v>
      </c>
      <c r="B4218" s="58" t="s">
        <v>6150</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6621</v>
      </c>
    </row>
    <row r="4225" spans="1:2" x14ac:dyDescent="0.25">
      <c r="A4225" s="57">
        <v>31101505</v>
      </c>
      <c r="B4225" s="58" t="s">
        <v>17757</v>
      </c>
    </row>
    <row r="4226" spans="1:2" x14ac:dyDescent="0.25">
      <c r="A4226" s="57">
        <v>31101506</v>
      </c>
      <c r="B4226" s="58" t="s">
        <v>11897</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6071</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12788</v>
      </c>
    </row>
    <row r="4242" spans="1:2" x14ac:dyDescent="0.25">
      <c r="A4242" s="57">
        <v>31101606</v>
      </c>
      <c r="B4242" s="58" t="s">
        <v>5700</v>
      </c>
    </row>
    <row r="4243" spans="1:2" x14ac:dyDescent="0.25">
      <c r="A4243" s="57">
        <v>31101607</v>
      </c>
      <c r="B4243" s="58" t="s">
        <v>8971</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12326</v>
      </c>
    </row>
    <row r="4250" spans="1:2" x14ac:dyDescent="0.25">
      <c r="A4250" s="57">
        <v>31101614</v>
      </c>
      <c r="B4250" s="58" t="s">
        <v>18708</v>
      </c>
    </row>
    <row r="4251" spans="1:2" x14ac:dyDescent="0.25">
      <c r="A4251" s="57">
        <v>31101615</v>
      </c>
      <c r="B4251" s="58" t="s">
        <v>10361</v>
      </c>
    </row>
    <row r="4252" spans="1:2" x14ac:dyDescent="0.25">
      <c r="A4252" s="57">
        <v>31101616</v>
      </c>
      <c r="B4252" s="58" t="s">
        <v>17423</v>
      </c>
    </row>
    <row r="4253" spans="1:2" x14ac:dyDescent="0.25">
      <c r="A4253" s="57">
        <v>31101701</v>
      </c>
      <c r="B4253" s="58" t="s">
        <v>18182</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12780</v>
      </c>
    </row>
    <row r="4270" spans="1:2" x14ac:dyDescent="0.25">
      <c r="A4270" s="57">
        <v>31101802</v>
      </c>
      <c r="B4270" s="58" t="s">
        <v>6325</v>
      </c>
    </row>
    <row r="4271" spans="1:2" x14ac:dyDescent="0.25">
      <c r="A4271" s="57">
        <v>31101803</v>
      </c>
      <c r="B4271" s="58" t="s">
        <v>9923</v>
      </c>
    </row>
    <row r="4272" spans="1:2" x14ac:dyDescent="0.25">
      <c r="A4272" s="57">
        <v>31101804</v>
      </c>
      <c r="B4272" s="58" t="s">
        <v>11743</v>
      </c>
    </row>
    <row r="4273" spans="1:2" x14ac:dyDescent="0.25">
      <c r="A4273" s="57">
        <v>31101805</v>
      </c>
      <c r="B4273" s="58" t="s">
        <v>16881</v>
      </c>
    </row>
    <row r="4274" spans="1:2" x14ac:dyDescent="0.25">
      <c r="A4274" s="57">
        <v>31101806</v>
      </c>
      <c r="B4274" s="58" t="s">
        <v>14544</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13013</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8689</v>
      </c>
    </row>
    <row r="4291" spans="1:2" x14ac:dyDescent="0.25">
      <c r="A4291" s="57">
        <v>31101907</v>
      </c>
      <c r="B4291" s="58" t="s">
        <v>17437</v>
      </c>
    </row>
    <row r="4292" spans="1:2" x14ac:dyDescent="0.25">
      <c r="A4292" s="57">
        <v>31101908</v>
      </c>
      <c r="B4292" s="58" t="s">
        <v>910</v>
      </c>
    </row>
    <row r="4293" spans="1:2" x14ac:dyDescent="0.25">
      <c r="A4293" s="57">
        <v>31101909</v>
      </c>
      <c r="B4293" s="58" t="s">
        <v>16160</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13165</v>
      </c>
    </row>
    <row r="4306" spans="1:2" x14ac:dyDescent="0.25">
      <c r="A4306" s="57">
        <v>31102010</v>
      </c>
      <c r="B4306" s="58" t="s">
        <v>1601</v>
      </c>
    </row>
    <row r="4307" spans="1:2" x14ac:dyDescent="0.25">
      <c r="A4307" s="57">
        <v>31102011</v>
      </c>
      <c r="B4307" s="58" t="s">
        <v>14529</v>
      </c>
    </row>
    <row r="4308" spans="1:2" x14ac:dyDescent="0.25">
      <c r="A4308" s="57">
        <v>31102012</v>
      </c>
      <c r="B4308" s="58" t="s">
        <v>13060</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5822</v>
      </c>
    </row>
    <row r="4318" spans="1:2" x14ac:dyDescent="0.25">
      <c r="A4318" s="57">
        <v>31102106</v>
      </c>
      <c r="B4318" s="58" t="s">
        <v>23</v>
      </c>
    </row>
    <row r="4319" spans="1:2" x14ac:dyDescent="0.25">
      <c r="A4319" s="57">
        <v>31102107</v>
      </c>
      <c r="B4319" s="58" t="s">
        <v>7669</v>
      </c>
    </row>
    <row r="4320" spans="1:2" x14ac:dyDescent="0.25">
      <c r="A4320" s="57">
        <v>31102108</v>
      </c>
      <c r="B4320" s="58" t="s">
        <v>14129</v>
      </c>
    </row>
    <row r="4321" spans="1:2" x14ac:dyDescent="0.25">
      <c r="A4321" s="57">
        <v>31102109</v>
      </c>
      <c r="B4321" s="58" t="s">
        <v>432</v>
      </c>
    </row>
    <row r="4322" spans="1:2" x14ac:dyDescent="0.25">
      <c r="A4322" s="57">
        <v>31102110</v>
      </c>
      <c r="B4322" s="58" t="s">
        <v>17135</v>
      </c>
    </row>
    <row r="4323" spans="1:2" x14ac:dyDescent="0.25">
      <c r="A4323" s="57">
        <v>31102111</v>
      </c>
      <c r="B4323" s="58" t="s">
        <v>11943</v>
      </c>
    </row>
    <row r="4324" spans="1:2" x14ac:dyDescent="0.25">
      <c r="A4324" s="57">
        <v>31102112</v>
      </c>
      <c r="B4324" s="58" t="s">
        <v>8543</v>
      </c>
    </row>
    <row r="4325" spans="1:2" x14ac:dyDescent="0.25">
      <c r="A4325" s="57">
        <v>31102113</v>
      </c>
      <c r="B4325" s="58" t="s">
        <v>17803</v>
      </c>
    </row>
    <row r="4326" spans="1:2" x14ac:dyDescent="0.25">
      <c r="A4326" s="57">
        <v>31102114</v>
      </c>
      <c r="B4326" s="58" t="s">
        <v>12150</v>
      </c>
    </row>
    <row r="4327" spans="1:2" x14ac:dyDescent="0.25">
      <c r="A4327" s="57">
        <v>31102115</v>
      </c>
      <c r="B4327" s="58" t="s">
        <v>9765</v>
      </c>
    </row>
    <row r="4328" spans="1:2" x14ac:dyDescent="0.25">
      <c r="A4328" s="57">
        <v>31102116</v>
      </c>
      <c r="B4328" s="58" t="s">
        <v>15336</v>
      </c>
    </row>
    <row r="4329" spans="1:2" x14ac:dyDescent="0.25">
      <c r="A4329" s="57">
        <v>31102201</v>
      </c>
      <c r="B4329" s="58" t="s">
        <v>12184</v>
      </c>
    </row>
    <row r="4330" spans="1:2" x14ac:dyDescent="0.25">
      <c r="A4330" s="57">
        <v>31102202</v>
      </c>
      <c r="B4330" s="58" t="s">
        <v>12108</v>
      </c>
    </row>
    <row r="4331" spans="1:2" x14ac:dyDescent="0.25">
      <c r="A4331" s="57">
        <v>31102203</v>
      </c>
      <c r="B4331" s="58" t="s">
        <v>6114</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6127</v>
      </c>
    </row>
    <row r="4336" spans="1:2" x14ac:dyDescent="0.25">
      <c r="A4336" s="57">
        <v>31102208</v>
      </c>
      <c r="B4336" s="58" t="s">
        <v>9539</v>
      </c>
    </row>
    <row r="4337" spans="1:2" x14ac:dyDescent="0.25">
      <c r="A4337" s="57">
        <v>31102209</v>
      </c>
      <c r="B4337" s="58" t="s">
        <v>17245</v>
      </c>
    </row>
    <row r="4338" spans="1:2" x14ac:dyDescent="0.25">
      <c r="A4338" s="57">
        <v>31102210</v>
      </c>
      <c r="B4338" s="58" t="s">
        <v>18221</v>
      </c>
    </row>
    <row r="4339" spans="1:2" x14ac:dyDescent="0.25">
      <c r="A4339" s="57">
        <v>31102211</v>
      </c>
      <c r="B4339" s="58" t="s">
        <v>17738</v>
      </c>
    </row>
    <row r="4340" spans="1:2" x14ac:dyDescent="0.25">
      <c r="A4340" s="57">
        <v>31102212</v>
      </c>
      <c r="B4340" s="58" t="s">
        <v>1254</v>
      </c>
    </row>
    <row r="4341" spans="1:2" x14ac:dyDescent="0.25">
      <c r="A4341" s="57">
        <v>31102213</v>
      </c>
      <c r="B4341" s="58" t="s">
        <v>6568</v>
      </c>
    </row>
    <row r="4342" spans="1:2" x14ac:dyDescent="0.25">
      <c r="A4342" s="57">
        <v>31102214</v>
      </c>
      <c r="B4342" s="58" t="s">
        <v>17667</v>
      </c>
    </row>
    <row r="4343" spans="1:2" x14ac:dyDescent="0.25">
      <c r="A4343" s="57">
        <v>31102215</v>
      </c>
      <c r="B4343" s="58" t="s">
        <v>1226</v>
      </c>
    </row>
    <row r="4344" spans="1:2" x14ac:dyDescent="0.25">
      <c r="A4344" s="57">
        <v>31102216</v>
      </c>
      <c r="B4344" s="58" t="s">
        <v>6082</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9697</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14205</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14084</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11944</v>
      </c>
    </row>
    <row r="4371" spans="1:2" x14ac:dyDescent="0.25">
      <c r="A4371" s="57">
        <v>31102411</v>
      </c>
      <c r="B4371" s="58" t="s">
        <v>6622</v>
      </c>
    </row>
    <row r="4372" spans="1:2" x14ac:dyDescent="0.25">
      <c r="A4372" s="57">
        <v>31102412</v>
      </c>
      <c r="B4372" s="58" t="s">
        <v>10773</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17926</v>
      </c>
    </row>
    <row r="4380" spans="1:2" x14ac:dyDescent="0.25">
      <c r="A4380" s="57">
        <v>31111504</v>
      </c>
      <c r="B4380" s="58" t="s">
        <v>16680</v>
      </c>
    </row>
    <row r="4381" spans="1:2" x14ac:dyDescent="0.25">
      <c r="A4381" s="57">
        <v>31111505</v>
      </c>
      <c r="B4381" s="58" t="s">
        <v>11995</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13816</v>
      </c>
    </row>
    <row r="4391" spans="1:2" x14ac:dyDescent="0.25">
      <c r="A4391" s="57">
        <v>31111515</v>
      </c>
      <c r="B4391" s="58" t="s">
        <v>14258</v>
      </c>
    </row>
    <row r="4392" spans="1:2" x14ac:dyDescent="0.25">
      <c r="A4392" s="57">
        <v>31111516</v>
      </c>
      <c r="B4392" s="58" t="s">
        <v>17429</v>
      </c>
    </row>
    <row r="4393" spans="1:2" x14ac:dyDescent="0.25">
      <c r="A4393" s="57">
        <v>31111517</v>
      </c>
      <c r="B4393" s="58" t="s">
        <v>7875</v>
      </c>
    </row>
    <row r="4394" spans="1:2" x14ac:dyDescent="0.25">
      <c r="A4394" s="57">
        <v>31111601</v>
      </c>
      <c r="B4394" s="58" t="s">
        <v>15960</v>
      </c>
    </row>
    <row r="4395" spans="1:2" x14ac:dyDescent="0.25">
      <c r="A4395" s="57">
        <v>31111602</v>
      </c>
      <c r="B4395" s="58" t="s">
        <v>6260</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17680</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13230</v>
      </c>
    </row>
    <row r="4411" spans="1:2" x14ac:dyDescent="0.25">
      <c r="A4411" s="57">
        <v>31111701</v>
      </c>
      <c r="B4411" s="58" t="s">
        <v>15023</v>
      </c>
    </row>
    <row r="4412" spans="1:2" x14ac:dyDescent="0.25">
      <c r="A4412" s="57">
        <v>31111702</v>
      </c>
      <c r="B4412" s="58" t="s">
        <v>4802</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12320</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14166</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17269</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12021</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11656</v>
      </c>
    </row>
    <row r="4436" spans="1:2" x14ac:dyDescent="0.25">
      <c r="A4436" s="57">
        <v>31121009</v>
      </c>
      <c r="B4436" s="58" t="s">
        <v>16696</v>
      </c>
    </row>
    <row r="4437" spans="1:2" x14ac:dyDescent="0.25">
      <c r="A4437" s="57">
        <v>31121010</v>
      </c>
      <c r="B4437" s="58" t="s">
        <v>7987</v>
      </c>
    </row>
    <row r="4438" spans="1:2" x14ac:dyDescent="0.25">
      <c r="A4438" s="57">
        <v>31121011</v>
      </c>
      <c r="B4438" s="58" t="s">
        <v>13786</v>
      </c>
    </row>
    <row r="4439" spans="1:2" x14ac:dyDescent="0.25">
      <c r="A4439" s="57">
        <v>31121012</v>
      </c>
      <c r="B4439" s="58" t="s">
        <v>15504</v>
      </c>
    </row>
    <row r="4440" spans="1:2" x14ac:dyDescent="0.25">
      <c r="A4440" s="57">
        <v>31121013</v>
      </c>
      <c r="B4440" s="58" t="s">
        <v>7662</v>
      </c>
    </row>
    <row r="4441" spans="1:2" x14ac:dyDescent="0.25">
      <c r="A4441" s="57">
        <v>31121014</v>
      </c>
      <c r="B4441" s="58" t="s">
        <v>12523</v>
      </c>
    </row>
    <row r="4442" spans="1:2" x14ac:dyDescent="0.25">
      <c r="A4442" s="57">
        <v>31121015</v>
      </c>
      <c r="B4442" s="58" t="s">
        <v>13676</v>
      </c>
    </row>
    <row r="4443" spans="1:2" x14ac:dyDescent="0.25">
      <c r="A4443" s="57">
        <v>31121016</v>
      </c>
      <c r="B4443" s="58" t="s">
        <v>13484</v>
      </c>
    </row>
    <row r="4444" spans="1:2" x14ac:dyDescent="0.25">
      <c r="A4444" s="57">
        <v>31121017</v>
      </c>
      <c r="B4444" s="58" t="s">
        <v>17572</v>
      </c>
    </row>
    <row r="4445" spans="1:2" x14ac:dyDescent="0.25">
      <c r="A4445" s="57">
        <v>31121018</v>
      </c>
      <c r="B4445" s="58" t="s">
        <v>16847</v>
      </c>
    </row>
    <row r="4446" spans="1:2" x14ac:dyDescent="0.25">
      <c r="A4446" s="57">
        <v>31121019</v>
      </c>
      <c r="B4446" s="58" t="s">
        <v>12348</v>
      </c>
    </row>
    <row r="4447" spans="1:2" x14ac:dyDescent="0.25">
      <c r="A4447" s="57">
        <v>31121101</v>
      </c>
      <c r="B4447" s="58" t="s">
        <v>17587</v>
      </c>
    </row>
    <row r="4448" spans="1:2" x14ac:dyDescent="0.25">
      <c r="A4448" s="57">
        <v>31121102</v>
      </c>
      <c r="B4448" s="58" t="s">
        <v>9372</v>
      </c>
    </row>
    <row r="4449" spans="1:2" x14ac:dyDescent="0.25">
      <c r="A4449" s="57">
        <v>31121103</v>
      </c>
      <c r="B4449" s="58" t="s">
        <v>17163</v>
      </c>
    </row>
    <row r="4450" spans="1:2" x14ac:dyDescent="0.25">
      <c r="A4450" s="57">
        <v>31121104</v>
      </c>
      <c r="B4450" s="58" t="s">
        <v>9874</v>
      </c>
    </row>
    <row r="4451" spans="1:2" x14ac:dyDescent="0.25">
      <c r="A4451" s="57">
        <v>31121105</v>
      </c>
      <c r="B4451" s="58" t="s">
        <v>7115</v>
      </c>
    </row>
    <row r="4452" spans="1:2" x14ac:dyDescent="0.25">
      <c r="A4452" s="57">
        <v>31121106</v>
      </c>
      <c r="B4452" s="58" t="s">
        <v>8059</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13295</v>
      </c>
    </row>
    <row r="4457" spans="1:2" x14ac:dyDescent="0.25">
      <c r="A4457" s="57">
        <v>31121111</v>
      </c>
      <c r="B4457" s="58" t="s">
        <v>7847</v>
      </c>
    </row>
    <row r="4458" spans="1:2" x14ac:dyDescent="0.25">
      <c r="A4458" s="57">
        <v>31121112</v>
      </c>
      <c r="B4458" s="58" t="s">
        <v>14564</v>
      </c>
    </row>
    <row r="4459" spans="1:2" x14ac:dyDescent="0.25">
      <c r="A4459" s="57">
        <v>31121113</v>
      </c>
      <c r="B4459" s="58" t="s">
        <v>17355</v>
      </c>
    </row>
    <row r="4460" spans="1:2" x14ac:dyDescent="0.25">
      <c r="A4460" s="57">
        <v>31121114</v>
      </c>
      <c r="B4460" s="58" t="s">
        <v>15470</v>
      </c>
    </row>
    <row r="4461" spans="1:2" x14ac:dyDescent="0.25">
      <c r="A4461" s="57">
        <v>31121115</v>
      </c>
      <c r="B4461" s="58" t="s">
        <v>8482</v>
      </c>
    </row>
    <row r="4462" spans="1:2" x14ac:dyDescent="0.25">
      <c r="A4462" s="57">
        <v>31121116</v>
      </c>
      <c r="B4462" s="58" t="s">
        <v>10907</v>
      </c>
    </row>
    <row r="4463" spans="1:2" x14ac:dyDescent="0.25">
      <c r="A4463" s="57">
        <v>31121117</v>
      </c>
      <c r="B4463" s="58" t="s">
        <v>4900</v>
      </c>
    </row>
    <row r="4464" spans="1:2" x14ac:dyDescent="0.25">
      <c r="A4464" s="57">
        <v>31121118</v>
      </c>
      <c r="B4464" s="58" t="s">
        <v>10738</v>
      </c>
    </row>
    <row r="4465" spans="1:2" x14ac:dyDescent="0.25">
      <c r="A4465" s="57">
        <v>31121119</v>
      </c>
      <c r="B4465" s="58" t="s">
        <v>17225</v>
      </c>
    </row>
    <row r="4466" spans="1:2" x14ac:dyDescent="0.25">
      <c r="A4466" s="57">
        <v>31121201</v>
      </c>
      <c r="B4466" s="58" t="s">
        <v>13899</v>
      </c>
    </row>
    <row r="4467" spans="1:2" x14ac:dyDescent="0.25">
      <c r="A4467" s="57">
        <v>31121202</v>
      </c>
      <c r="B4467" s="58" t="s">
        <v>12145</v>
      </c>
    </row>
    <row r="4468" spans="1:2" x14ac:dyDescent="0.25">
      <c r="A4468" s="57">
        <v>31121203</v>
      </c>
      <c r="B4468" s="58" t="s">
        <v>17090</v>
      </c>
    </row>
    <row r="4469" spans="1:2" x14ac:dyDescent="0.25">
      <c r="A4469" s="57">
        <v>31121204</v>
      </c>
      <c r="B4469" s="58" t="s">
        <v>16867</v>
      </c>
    </row>
    <row r="4470" spans="1:2" x14ac:dyDescent="0.25">
      <c r="A4470" s="57">
        <v>31121205</v>
      </c>
      <c r="B4470" s="58" t="s">
        <v>17775</v>
      </c>
    </row>
    <row r="4471" spans="1:2" x14ac:dyDescent="0.25">
      <c r="A4471" s="57">
        <v>31121206</v>
      </c>
      <c r="B4471" s="58" t="s">
        <v>18757</v>
      </c>
    </row>
    <row r="4472" spans="1:2" x14ac:dyDescent="0.25">
      <c r="A4472" s="57">
        <v>31121207</v>
      </c>
      <c r="B4472" s="58" t="s">
        <v>7508</v>
      </c>
    </row>
    <row r="4473" spans="1:2" x14ac:dyDescent="0.25">
      <c r="A4473" s="57">
        <v>31121208</v>
      </c>
      <c r="B4473" s="58" t="s">
        <v>2239</v>
      </c>
    </row>
    <row r="4474" spans="1:2" x14ac:dyDescent="0.25">
      <c r="A4474" s="57">
        <v>31121209</v>
      </c>
      <c r="B4474" s="58" t="s">
        <v>14711</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6257</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11406</v>
      </c>
    </row>
    <row r="4491" spans="1:2" x14ac:dyDescent="0.25">
      <c r="A4491" s="57">
        <v>31121307</v>
      </c>
      <c r="B4491" s="58" t="s">
        <v>8950</v>
      </c>
    </row>
    <row r="4492" spans="1:2" x14ac:dyDescent="0.25">
      <c r="A4492" s="57">
        <v>31121308</v>
      </c>
      <c r="B4492" s="58" t="s">
        <v>9415</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5866</v>
      </c>
    </row>
    <row r="4497" spans="1:2" x14ac:dyDescent="0.25">
      <c r="A4497" s="57">
        <v>31121313</v>
      </c>
      <c r="B4497" s="58" t="s">
        <v>13124</v>
      </c>
    </row>
    <row r="4498" spans="1:2" x14ac:dyDescent="0.25">
      <c r="A4498" s="57">
        <v>31121314</v>
      </c>
      <c r="B4498" s="58" t="s">
        <v>3344</v>
      </c>
    </row>
    <row r="4499" spans="1:2" x14ac:dyDescent="0.25">
      <c r="A4499" s="57">
        <v>31121315</v>
      </c>
      <c r="B4499" s="58" t="s">
        <v>17099</v>
      </c>
    </row>
    <row r="4500" spans="1:2" x14ac:dyDescent="0.25">
      <c r="A4500" s="57">
        <v>31121316</v>
      </c>
      <c r="B4500" s="58" t="s">
        <v>10682</v>
      </c>
    </row>
    <row r="4501" spans="1:2" x14ac:dyDescent="0.25">
      <c r="A4501" s="57">
        <v>31121317</v>
      </c>
      <c r="B4501" s="58" t="s">
        <v>4827</v>
      </c>
    </row>
    <row r="4502" spans="1:2" x14ac:dyDescent="0.25">
      <c r="A4502" s="57">
        <v>31121318</v>
      </c>
      <c r="B4502" s="58" t="s">
        <v>13142</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18714</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5835</v>
      </c>
    </row>
    <row r="4528" spans="1:2" x14ac:dyDescent="0.25">
      <c r="A4528" s="57">
        <v>31121506</v>
      </c>
      <c r="B4528" s="58" t="s">
        <v>14606</v>
      </c>
    </row>
    <row r="4529" spans="1:2" x14ac:dyDescent="0.25">
      <c r="A4529" s="57">
        <v>31121507</v>
      </c>
      <c r="B4529" s="58" t="s">
        <v>17922</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11488</v>
      </c>
    </row>
    <row r="4534" spans="1:2" x14ac:dyDescent="0.25">
      <c r="A4534" s="57">
        <v>31121512</v>
      </c>
      <c r="B4534" s="58" t="s">
        <v>13562</v>
      </c>
    </row>
    <row r="4535" spans="1:2" x14ac:dyDescent="0.25">
      <c r="A4535" s="57">
        <v>31121513</v>
      </c>
      <c r="B4535" s="58" t="s">
        <v>4427</v>
      </c>
    </row>
    <row r="4536" spans="1:2" x14ac:dyDescent="0.25">
      <c r="A4536" s="57">
        <v>31121514</v>
      </c>
      <c r="B4536" s="58" t="s">
        <v>17236</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13099</v>
      </c>
    </row>
    <row r="4547" spans="1:2" x14ac:dyDescent="0.25">
      <c r="A4547" s="57">
        <v>31121606</v>
      </c>
      <c r="B4547" s="58" t="s">
        <v>2030</v>
      </c>
    </row>
    <row r="4548" spans="1:2" x14ac:dyDescent="0.25">
      <c r="A4548" s="57">
        <v>31121607</v>
      </c>
      <c r="B4548" s="58" t="s">
        <v>6081</v>
      </c>
    </row>
    <row r="4549" spans="1:2" x14ac:dyDescent="0.25">
      <c r="A4549" s="57">
        <v>31121608</v>
      </c>
      <c r="B4549" s="58" t="s">
        <v>9685</v>
      </c>
    </row>
    <row r="4550" spans="1:2" x14ac:dyDescent="0.25">
      <c r="A4550" s="57">
        <v>31121609</v>
      </c>
      <c r="B4550" s="58" t="s">
        <v>3799</v>
      </c>
    </row>
    <row r="4551" spans="1:2" x14ac:dyDescent="0.25">
      <c r="A4551" s="57">
        <v>31121610</v>
      </c>
      <c r="B4551" s="58" t="s">
        <v>14953</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5917</v>
      </c>
    </row>
    <row r="4559" spans="1:2" x14ac:dyDescent="0.25">
      <c r="A4559" s="57">
        <v>31121703</v>
      </c>
      <c r="B4559" s="58" t="s">
        <v>13379</v>
      </c>
    </row>
    <row r="4560" spans="1:2" x14ac:dyDescent="0.25">
      <c r="A4560" s="57">
        <v>31121704</v>
      </c>
      <c r="B4560" s="58" t="s">
        <v>14268</v>
      </c>
    </row>
    <row r="4561" spans="1:2" x14ac:dyDescent="0.25">
      <c r="A4561" s="57">
        <v>31121705</v>
      </c>
      <c r="B4561" s="58" t="s">
        <v>13125</v>
      </c>
    </row>
    <row r="4562" spans="1:2" x14ac:dyDescent="0.25">
      <c r="A4562" s="57">
        <v>31121706</v>
      </c>
      <c r="B4562" s="58" t="s">
        <v>14199</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6056</v>
      </c>
    </row>
    <row r="4571" spans="1:2" x14ac:dyDescent="0.25">
      <c r="A4571" s="57">
        <v>31121715</v>
      </c>
      <c r="B4571" s="58" t="s">
        <v>1269</v>
      </c>
    </row>
    <row r="4572" spans="1:2" x14ac:dyDescent="0.25">
      <c r="A4572" s="57">
        <v>31121716</v>
      </c>
      <c r="B4572" s="58" t="s">
        <v>17838</v>
      </c>
    </row>
    <row r="4573" spans="1:2" x14ac:dyDescent="0.25">
      <c r="A4573" s="57">
        <v>31121717</v>
      </c>
      <c r="B4573" s="58" t="s">
        <v>9682</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14217</v>
      </c>
    </row>
    <row r="4587" spans="1:2" x14ac:dyDescent="0.25">
      <c r="A4587" s="57">
        <v>31121812</v>
      </c>
      <c r="B4587" s="58" t="s">
        <v>374</v>
      </c>
    </row>
    <row r="4588" spans="1:2" x14ac:dyDescent="0.25">
      <c r="A4588" s="57">
        <v>31121813</v>
      </c>
      <c r="B4588" s="58" t="s">
        <v>18194</v>
      </c>
    </row>
    <row r="4589" spans="1:2" x14ac:dyDescent="0.25">
      <c r="A4589" s="57">
        <v>31121814</v>
      </c>
      <c r="B4589" s="58" t="s">
        <v>5980</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4861</v>
      </c>
    </row>
    <row r="4603" spans="1:2" x14ac:dyDescent="0.25">
      <c r="A4603" s="57">
        <v>31121909</v>
      </c>
      <c r="B4603" s="58" t="s">
        <v>15781</v>
      </c>
    </row>
    <row r="4604" spans="1:2" x14ac:dyDescent="0.25">
      <c r="A4604" s="57">
        <v>31121910</v>
      </c>
      <c r="B4604" s="58" t="s">
        <v>17886</v>
      </c>
    </row>
    <row r="4605" spans="1:2" x14ac:dyDescent="0.25">
      <c r="A4605" s="57">
        <v>31121911</v>
      </c>
      <c r="B4605" s="58" t="s">
        <v>12922</v>
      </c>
    </row>
    <row r="4606" spans="1:2" x14ac:dyDescent="0.25">
      <c r="A4606" s="57">
        <v>31121912</v>
      </c>
      <c r="B4606" s="58" t="s">
        <v>13283</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12122</v>
      </c>
    </row>
    <row r="4617" spans="1:2" x14ac:dyDescent="0.25">
      <c r="A4617" s="57">
        <v>31131504</v>
      </c>
      <c r="B4617" s="58" t="s">
        <v>6171</v>
      </c>
    </row>
    <row r="4618" spans="1:2" x14ac:dyDescent="0.25">
      <c r="A4618" s="57">
        <v>31131505</v>
      </c>
      <c r="B4618" s="58" t="s">
        <v>14832</v>
      </c>
    </row>
    <row r="4619" spans="1:2" x14ac:dyDescent="0.25">
      <c r="A4619" s="57">
        <v>31131506</v>
      </c>
      <c r="B4619" s="58" t="s">
        <v>14198</v>
      </c>
    </row>
    <row r="4620" spans="1:2" x14ac:dyDescent="0.25">
      <c r="A4620" s="57">
        <v>31131507</v>
      </c>
      <c r="B4620" s="58" t="s">
        <v>12909</v>
      </c>
    </row>
    <row r="4621" spans="1:2" x14ac:dyDescent="0.25">
      <c r="A4621" s="57">
        <v>31131508</v>
      </c>
      <c r="B4621" s="58" t="s">
        <v>2953</v>
      </c>
    </row>
    <row r="4622" spans="1:2" x14ac:dyDescent="0.25">
      <c r="A4622" s="57">
        <v>31131509</v>
      </c>
      <c r="B4622" s="58" t="s">
        <v>6413</v>
      </c>
    </row>
    <row r="4623" spans="1:2" x14ac:dyDescent="0.25">
      <c r="A4623" s="57">
        <v>31131510</v>
      </c>
      <c r="B4623" s="58" t="s">
        <v>11306</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14051</v>
      </c>
    </row>
    <row r="4634" spans="1:2" x14ac:dyDescent="0.25">
      <c r="A4634" s="57">
        <v>31131605</v>
      </c>
      <c r="B4634" s="58" t="s">
        <v>11989</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13312</v>
      </c>
    </row>
    <row r="4639" spans="1:2" x14ac:dyDescent="0.25">
      <c r="A4639" s="57">
        <v>31131610</v>
      </c>
      <c r="B4639" s="58" t="s">
        <v>5171</v>
      </c>
    </row>
    <row r="4640" spans="1:2" x14ac:dyDescent="0.25">
      <c r="A4640" s="57">
        <v>31131611</v>
      </c>
      <c r="B4640" s="58" t="s">
        <v>11847</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6226</v>
      </c>
    </row>
    <row r="4648" spans="1:2" x14ac:dyDescent="0.25">
      <c r="A4648" s="57">
        <v>31131703</v>
      </c>
      <c r="B4648" s="58" t="s">
        <v>806</v>
      </c>
    </row>
    <row r="4649" spans="1:2" x14ac:dyDescent="0.25">
      <c r="A4649" s="57">
        <v>31131704</v>
      </c>
      <c r="B4649" s="58" t="s">
        <v>18460</v>
      </c>
    </row>
    <row r="4650" spans="1:2" x14ac:dyDescent="0.25">
      <c r="A4650" s="57">
        <v>31131705</v>
      </c>
      <c r="B4650" s="58" t="s">
        <v>13770</v>
      </c>
    </row>
    <row r="4651" spans="1:2" x14ac:dyDescent="0.25">
      <c r="A4651" s="57">
        <v>31131706</v>
      </c>
      <c r="B4651" s="58" t="s">
        <v>10795</v>
      </c>
    </row>
    <row r="4652" spans="1:2" x14ac:dyDescent="0.25">
      <c r="A4652" s="57">
        <v>31131707</v>
      </c>
      <c r="B4652" s="58" t="s">
        <v>5670</v>
      </c>
    </row>
    <row r="4653" spans="1:2" x14ac:dyDescent="0.25">
      <c r="A4653" s="57">
        <v>31131708</v>
      </c>
      <c r="B4653" s="58" t="s">
        <v>17457</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11047</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12446</v>
      </c>
    </row>
    <row r="4673" spans="1:2" x14ac:dyDescent="0.25">
      <c r="A4673" s="57">
        <v>31131812</v>
      </c>
      <c r="B4673" s="58" t="s">
        <v>8207</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12741</v>
      </c>
    </row>
    <row r="4684" spans="1:2" x14ac:dyDescent="0.25">
      <c r="A4684" s="57">
        <v>31131905</v>
      </c>
      <c r="B4684" s="58" t="s">
        <v>10125</v>
      </c>
    </row>
    <row r="4685" spans="1:2" x14ac:dyDescent="0.25">
      <c r="A4685" s="57">
        <v>31131906</v>
      </c>
      <c r="B4685" s="58" t="s">
        <v>17416</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12316</v>
      </c>
    </row>
    <row r="4698" spans="1:2" x14ac:dyDescent="0.25">
      <c r="A4698" s="57">
        <v>31141501</v>
      </c>
      <c r="B4698" s="58" t="s">
        <v>13732</v>
      </c>
    </row>
    <row r="4699" spans="1:2" x14ac:dyDescent="0.25">
      <c r="A4699" s="57">
        <v>31141502</v>
      </c>
      <c r="B4699" s="58" t="s">
        <v>18761</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17748</v>
      </c>
    </row>
    <row r="4704" spans="1:2" x14ac:dyDescent="0.25">
      <c r="A4704" s="57">
        <v>31141701</v>
      </c>
      <c r="B4704" s="58" t="s">
        <v>1204</v>
      </c>
    </row>
    <row r="4705" spans="1:2" x14ac:dyDescent="0.25">
      <c r="A4705" s="57">
        <v>31141702</v>
      </c>
      <c r="B4705" s="58" t="s">
        <v>14273</v>
      </c>
    </row>
    <row r="4706" spans="1:2" x14ac:dyDescent="0.25">
      <c r="A4706" s="57">
        <v>31141801</v>
      </c>
      <c r="B4706" s="58" t="s">
        <v>11885</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6210</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18709</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11552</v>
      </c>
    </row>
    <row r="4723" spans="1:2" x14ac:dyDescent="0.25">
      <c r="A4723" s="57">
        <v>31151608</v>
      </c>
      <c r="B4723" s="58" t="s">
        <v>16855</v>
      </c>
    </row>
    <row r="4724" spans="1:2" x14ac:dyDescent="0.25">
      <c r="A4724" s="57">
        <v>31151609</v>
      </c>
      <c r="B4724" s="58" t="s">
        <v>14516</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7705</v>
      </c>
    </row>
    <row r="4755" spans="1:2" x14ac:dyDescent="0.25">
      <c r="A4755" s="57">
        <v>31161517</v>
      </c>
      <c r="B4755" s="58" t="s">
        <v>14616</v>
      </c>
    </row>
    <row r="4756" spans="1:2" x14ac:dyDescent="0.25">
      <c r="A4756" s="57">
        <v>31161518</v>
      </c>
      <c r="B4756" s="58" t="s">
        <v>17302</v>
      </c>
    </row>
    <row r="4757" spans="1:2" x14ac:dyDescent="0.25">
      <c r="A4757" s="57">
        <v>31161601</v>
      </c>
      <c r="B4757" s="58" t="s">
        <v>17675</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2400</v>
      </c>
    </row>
    <row r="4764" spans="1:2" x14ac:dyDescent="0.25">
      <c r="A4764" s="57">
        <v>31161608</v>
      </c>
      <c r="B4764" s="58" t="s">
        <v>13658</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13747</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11463</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14668</v>
      </c>
    </row>
    <row r="4800" spans="1:2" x14ac:dyDescent="0.25">
      <c r="A4800" s="57">
        <v>31161725</v>
      </c>
      <c r="B4800" s="58" t="s">
        <v>17650</v>
      </c>
    </row>
    <row r="4801" spans="1:2" x14ac:dyDescent="0.25">
      <c r="A4801" s="57">
        <v>31161726</v>
      </c>
      <c r="B4801" s="58" t="s">
        <v>10339</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17943</v>
      </c>
    </row>
    <row r="4806" spans="1:2" x14ac:dyDescent="0.25">
      <c r="A4806" s="57">
        <v>31161731</v>
      </c>
      <c r="B4806" s="58" t="s">
        <v>13922</v>
      </c>
    </row>
    <row r="4807" spans="1:2" x14ac:dyDescent="0.25">
      <c r="A4807" s="57">
        <v>31161801</v>
      </c>
      <c r="B4807" s="58" t="s">
        <v>8919</v>
      </c>
    </row>
    <row r="4808" spans="1:2" x14ac:dyDescent="0.25">
      <c r="A4808" s="57">
        <v>31161802</v>
      </c>
      <c r="B4808" s="58" t="s">
        <v>17304</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11816</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18685</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14635</v>
      </c>
    </row>
    <row r="4822" spans="1:2" x14ac:dyDescent="0.25">
      <c r="A4822" s="57">
        <v>31161816</v>
      </c>
      <c r="B4822" s="58" t="s">
        <v>8309</v>
      </c>
    </row>
    <row r="4823" spans="1:2" x14ac:dyDescent="0.25">
      <c r="A4823" s="57">
        <v>31161817</v>
      </c>
      <c r="B4823" s="58" t="s">
        <v>9332</v>
      </c>
    </row>
    <row r="4824" spans="1:2" x14ac:dyDescent="0.25">
      <c r="A4824" s="57">
        <v>31161818</v>
      </c>
      <c r="B4824" s="58" t="s">
        <v>18801</v>
      </c>
    </row>
    <row r="4825" spans="1:2" x14ac:dyDescent="0.25">
      <c r="A4825" s="57">
        <v>31161819</v>
      </c>
      <c r="B4825" s="58" t="s">
        <v>10766</v>
      </c>
    </row>
    <row r="4826" spans="1:2" x14ac:dyDescent="0.25">
      <c r="A4826" s="57">
        <v>31161820</v>
      </c>
      <c r="B4826" s="58" t="s">
        <v>4215</v>
      </c>
    </row>
    <row r="4827" spans="1:2" x14ac:dyDescent="0.25">
      <c r="A4827" s="57">
        <v>31161901</v>
      </c>
      <c r="B4827" s="58" t="s">
        <v>2916</v>
      </c>
    </row>
    <row r="4828" spans="1:2" x14ac:dyDescent="0.25">
      <c r="A4828" s="57">
        <v>31161902</v>
      </c>
      <c r="B4828" s="58" t="s">
        <v>12384</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13764</v>
      </c>
    </row>
    <row r="4835" spans="1:2" x14ac:dyDescent="0.25">
      <c r="A4835" s="57">
        <v>31162001</v>
      </c>
      <c r="B4835" s="58" t="s">
        <v>16958</v>
      </c>
    </row>
    <row r="4836" spans="1:2" x14ac:dyDescent="0.25">
      <c r="A4836" s="57">
        <v>31162002</v>
      </c>
      <c r="B4836" s="58" t="s">
        <v>2045</v>
      </c>
    </row>
    <row r="4837" spans="1:2" x14ac:dyDescent="0.25">
      <c r="A4837" s="57">
        <v>31162003</v>
      </c>
      <c r="B4837" s="58" t="s">
        <v>13837</v>
      </c>
    </row>
    <row r="4838" spans="1:2" x14ac:dyDescent="0.25">
      <c r="A4838" s="57">
        <v>31162004</v>
      </c>
      <c r="B4838" s="58" t="s">
        <v>6139</v>
      </c>
    </row>
    <row r="4839" spans="1:2" x14ac:dyDescent="0.25">
      <c r="A4839" s="57">
        <v>31162005</v>
      </c>
      <c r="B4839" s="58" t="s">
        <v>13094</v>
      </c>
    </row>
    <row r="4840" spans="1:2" x14ac:dyDescent="0.25">
      <c r="A4840" s="57">
        <v>31162006</v>
      </c>
      <c r="B4840" s="58" t="s">
        <v>16892</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6615</v>
      </c>
    </row>
    <row r="4845" spans="1:2" x14ac:dyDescent="0.25">
      <c r="A4845" s="57">
        <v>31162103</v>
      </c>
      <c r="B4845" s="58" t="s">
        <v>6069</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17799</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18743</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10506</v>
      </c>
    </row>
    <row r="4866" spans="1:2" x14ac:dyDescent="0.25">
      <c r="A4866" s="57">
        <v>31162307</v>
      </c>
      <c r="B4866" s="58" t="s">
        <v>10248</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12975</v>
      </c>
    </row>
    <row r="4871" spans="1:2" x14ac:dyDescent="0.25">
      <c r="A4871" s="57">
        <v>31162312</v>
      </c>
      <c r="B4871" s="58" t="s">
        <v>17755</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12530</v>
      </c>
    </row>
    <row r="4879" spans="1:2" x14ac:dyDescent="0.25">
      <c r="A4879" s="57">
        <v>31162407</v>
      </c>
      <c r="B4879" s="58" t="s">
        <v>14855</v>
      </c>
    </row>
    <row r="4880" spans="1:2" x14ac:dyDescent="0.25">
      <c r="A4880" s="57">
        <v>31162409</v>
      </c>
      <c r="B4880" s="58" t="s">
        <v>9883</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11608</v>
      </c>
    </row>
    <row r="4889" spans="1:2" x14ac:dyDescent="0.25">
      <c r="A4889" s="57">
        <v>31162418</v>
      </c>
      <c r="B4889" s="58" t="s">
        <v>14694</v>
      </c>
    </row>
    <row r="4890" spans="1:2" x14ac:dyDescent="0.25">
      <c r="A4890" s="57">
        <v>31162501</v>
      </c>
      <c r="B4890" s="58" t="s">
        <v>4702</v>
      </c>
    </row>
    <row r="4891" spans="1:2" x14ac:dyDescent="0.25">
      <c r="A4891" s="57">
        <v>31162502</v>
      </c>
      <c r="B4891" s="58" t="s">
        <v>5257</v>
      </c>
    </row>
    <row r="4892" spans="1:2" x14ac:dyDescent="0.25">
      <c r="A4892" s="57">
        <v>31162503</v>
      </c>
      <c r="B4892" s="58" t="s">
        <v>11139</v>
      </c>
    </row>
    <row r="4893" spans="1:2" x14ac:dyDescent="0.25">
      <c r="A4893" s="57">
        <v>31162504</v>
      </c>
      <c r="B4893" s="58" t="s">
        <v>15480</v>
      </c>
    </row>
    <row r="4894" spans="1:2" x14ac:dyDescent="0.25">
      <c r="A4894" s="57">
        <v>31162505</v>
      </c>
      <c r="B4894" s="58" t="s">
        <v>12567</v>
      </c>
    </row>
    <row r="4895" spans="1:2" x14ac:dyDescent="0.25">
      <c r="A4895" s="57">
        <v>31162506</v>
      </c>
      <c r="B4895" s="58" t="s">
        <v>8756</v>
      </c>
    </row>
    <row r="4896" spans="1:2" x14ac:dyDescent="0.25">
      <c r="A4896" s="57">
        <v>31162507</v>
      </c>
      <c r="B4896" s="58" t="s">
        <v>3857</v>
      </c>
    </row>
    <row r="4897" spans="1:2" x14ac:dyDescent="0.25">
      <c r="A4897" s="57">
        <v>31162601</v>
      </c>
      <c r="B4897" s="58" t="s">
        <v>6051</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13207</v>
      </c>
    </row>
    <row r="4907" spans="1:2" x14ac:dyDescent="0.25">
      <c r="A4907" s="57">
        <v>31162611</v>
      </c>
      <c r="B4907" s="58" t="s">
        <v>17697</v>
      </c>
    </row>
    <row r="4908" spans="1:2" x14ac:dyDescent="0.25">
      <c r="A4908" s="57">
        <v>31162701</v>
      </c>
      <c r="B4908" s="58" t="s">
        <v>8706</v>
      </c>
    </row>
    <row r="4909" spans="1:2" x14ac:dyDescent="0.25">
      <c r="A4909" s="57">
        <v>31162702</v>
      </c>
      <c r="B4909" s="58" t="s">
        <v>7052</v>
      </c>
    </row>
    <row r="4910" spans="1:2" x14ac:dyDescent="0.25">
      <c r="A4910" s="57">
        <v>31162703</v>
      </c>
      <c r="B4910" s="58" t="s">
        <v>11661</v>
      </c>
    </row>
    <row r="4911" spans="1:2" x14ac:dyDescent="0.25">
      <c r="A4911" s="57">
        <v>31162704</v>
      </c>
      <c r="B4911" s="58" t="s">
        <v>15302</v>
      </c>
    </row>
    <row r="4912" spans="1:2" x14ac:dyDescent="0.25">
      <c r="A4912" s="57">
        <v>31162801</v>
      </c>
      <c r="B4912" s="58" t="s">
        <v>18704</v>
      </c>
    </row>
    <row r="4913" spans="1:2" x14ac:dyDescent="0.25">
      <c r="A4913" s="57">
        <v>31162802</v>
      </c>
      <c r="B4913" s="58" t="s">
        <v>17234</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9936</v>
      </c>
    </row>
    <row r="4925" spans="1:2" x14ac:dyDescent="0.25">
      <c r="A4925" s="57">
        <v>31162903</v>
      </c>
      <c r="B4925" s="58" t="s">
        <v>14998</v>
      </c>
    </row>
    <row r="4926" spans="1:2" x14ac:dyDescent="0.25">
      <c r="A4926" s="57">
        <v>31162904</v>
      </c>
      <c r="B4926" s="58" t="s">
        <v>4595</v>
      </c>
    </row>
    <row r="4927" spans="1:2" x14ac:dyDescent="0.25">
      <c r="A4927" s="57">
        <v>31162905</v>
      </c>
      <c r="B4927" s="58" t="s">
        <v>17893</v>
      </c>
    </row>
    <row r="4928" spans="1:2" x14ac:dyDescent="0.25">
      <c r="A4928" s="57">
        <v>31162906</v>
      </c>
      <c r="B4928" s="58" t="s">
        <v>15669</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5962</v>
      </c>
    </row>
    <row r="4943" spans="1:2" x14ac:dyDescent="0.25">
      <c r="A4943" s="57">
        <v>31163208</v>
      </c>
      <c r="B4943" s="58" t="s">
        <v>7863</v>
      </c>
    </row>
    <row r="4944" spans="1:2" x14ac:dyDescent="0.25">
      <c r="A4944" s="57">
        <v>31163209</v>
      </c>
      <c r="B4944" s="58" t="s">
        <v>12847</v>
      </c>
    </row>
    <row r="4945" spans="1:2" x14ac:dyDescent="0.25">
      <c r="A4945" s="57">
        <v>31163210</v>
      </c>
      <c r="B4945" s="58" t="s">
        <v>8822</v>
      </c>
    </row>
    <row r="4946" spans="1:2" x14ac:dyDescent="0.25">
      <c r="A4946" s="57">
        <v>31163211</v>
      </c>
      <c r="B4946" s="58" t="s">
        <v>5970</v>
      </c>
    </row>
    <row r="4947" spans="1:2" x14ac:dyDescent="0.25">
      <c r="A4947" s="57">
        <v>31163212</v>
      </c>
      <c r="B4947" s="58" t="s">
        <v>16366</v>
      </c>
    </row>
    <row r="4948" spans="1:2" x14ac:dyDescent="0.25">
      <c r="A4948" s="57">
        <v>31163213</v>
      </c>
      <c r="B4948" s="58" t="s">
        <v>11903</v>
      </c>
    </row>
    <row r="4949" spans="1:2" x14ac:dyDescent="0.25">
      <c r="A4949" s="57">
        <v>31163214</v>
      </c>
      <c r="B4949" s="58" t="s">
        <v>13181</v>
      </c>
    </row>
    <row r="4950" spans="1:2" x14ac:dyDescent="0.25">
      <c r="A4950" s="57">
        <v>31163215</v>
      </c>
      <c r="B4950" s="58" t="s">
        <v>5028</v>
      </c>
    </row>
    <row r="4951" spans="1:2" x14ac:dyDescent="0.25">
      <c r="A4951" s="57">
        <v>31163301</v>
      </c>
      <c r="B4951" s="58" t="s">
        <v>4392</v>
      </c>
    </row>
    <row r="4952" spans="1:2" x14ac:dyDescent="0.25">
      <c r="A4952" s="57">
        <v>31171501</v>
      </c>
      <c r="B4952" s="58" t="s">
        <v>17534</v>
      </c>
    </row>
    <row r="4953" spans="1:2" x14ac:dyDescent="0.25">
      <c r="A4953" s="57">
        <v>31171502</v>
      </c>
      <c r="B4953" s="58" t="s">
        <v>1610</v>
      </c>
    </row>
    <row r="4954" spans="1:2" x14ac:dyDescent="0.25">
      <c r="A4954" s="57">
        <v>31171503</v>
      </c>
      <c r="B4954" s="58" t="s">
        <v>7617</v>
      </c>
    </row>
    <row r="4955" spans="1:2" x14ac:dyDescent="0.25">
      <c r="A4955" s="57">
        <v>31171504</v>
      </c>
      <c r="B4955" s="58" t="s">
        <v>10792</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10562</v>
      </c>
    </row>
    <row r="4961" spans="1:2" x14ac:dyDescent="0.25">
      <c r="A4961" s="57">
        <v>31171510</v>
      </c>
      <c r="B4961" s="58" t="s">
        <v>7425</v>
      </c>
    </row>
    <row r="4962" spans="1:2" x14ac:dyDescent="0.25">
      <c r="A4962" s="57">
        <v>31171511</v>
      </c>
      <c r="B4962" s="58" t="s">
        <v>12255</v>
      </c>
    </row>
    <row r="4963" spans="1:2" x14ac:dyDescent="0.25">
      <c r="A4963" s="57">
        <v>31171512</v>
      </c>
      <c r="B4963" s="58" t="s">
        <v>15865</v>
      </c>
    </row>
    <row r="4964" spans="1:2" x14ac:dyDescent="0.25">
      <c r="A4964" s="57">
        <v>31171513</v>
      </c>
      <c r="B4964" s="58" t="s">
        <v>14004</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8243</v>
      </c>
    </row>
    <row r="4993" spans="1:2" x14ac:dyDescent="0.25">
      <c r="A4993" s="57">
        <v>31171801</v>
      </c>
      <c r="B4993" s="58" t="s">
        <v>17790</v>
      </c>
    </row>
    <row r="4994" spans="1:2" x14ac:dyDescent="0.25">
      <c r="A4994" s="57">
        <v>31171802</v>
      </c>
      <c r="B4994" s="58" t="s">
        <v>7234</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4190</v>
      </c>
    </row>
    <row r="4999" spans="1:2" x14ac:dyDescent="0.25">
      <c r="A4999" s="57">
        <v>31171901</v>
      </c>
      <c r="B4999" s="58" t="s">
        <v>5836</v>
      </c>
    </row>
    <row r="5000" spans="1:2" x14ac:dyDescent="0.25">
      <c r="A5000" s="57">
        <v>31181501</v>
      </c>
      <c r="B5000" s="58" t="s">
        <v>9266</v>
      </c>
    </row>
    <row r="5001" spans="1:2" x14ac:dyDescent="0.25">
      <c r="A5001" s="57">
        <v>31181502</v>
      </c>
      <c r="B5001" s="58" t="s">
        <v>12541</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12340</v>
      </c>
    </row>
    <row r="5006" spans="1:2" x14ac:dyDescent="0.25">
      <c r="A5006" s="57">
        <v>31181507</v>
      </c>
      <c r="B5006" s="58" t="s">
        <v>5945</v>
      </c>
    </row>
    <row r="5007" spans="1:2" x14ac:dyDescent="0.25">
      <c r="A5007" s="57">
        <v>31181508</v>
      </c>
      <c r="B5007" s="58" t="s">
        <v>17496</v>
      </c>
    </row>
    <row r="5008" spans="1:2" x14ac:dyDescent="0.25">
      <c r="A5008" s="57">
        <v>31181509</v>
      </c>
      <c r="B5008" s="58" t="s">
        <v>1346</v>
      </c>
    </row>
    <row r="5009" spans="1:2" x14ac:dyDescent="0.25">
      <c r="A5009" s="57">
        <v>31181510</v>
      </c>
      <c r="B5009" s="58" t="s">
        <v>3921</v>
      </c>
    </row>
    <row r="5010" spans="1:2" x14ac:dyDescent="0.25">
      <c r="A5010" s="57">
        <v>31181511</v>
      </c>
      <c r="B5010" s="58" t="s">
        <v>11873</v>
      </c>
    </row>
    <row r="5011" spans="1:2" x14ac:dyDescent="0.25">
      <c r="A5011" s="57">
        <v>31181512</v>
      </c>
      <c r="B5011" s="58" t="s">
        <v>2187</v>
      </c>
    </row>
    <row r="5012" spans="1:2" x14ac:dyDescent="0.25">
      <c r="A5012" s="57">
        <v>31181601</v>
      </c>
      <c r="B5012" s="58" t="s">
        <v>8642</v>
      </c>
    </row>
    <row r="5013" spans="1:2" x14ac:dyDescent="0.25">
      <c r="A5013" s="57">
        <v>31181602</v>
      </c>
      <c r="B5013" s="58" t="s">
        <v>12654</v>
      </c>
    </row>
    <row r="5014" spans="1:2" x14ac:dyDescent="0.25">
      <c r="A5014" s="57">
        <v>31181603</v>
      </c>
      <c r="B5014" s="58" t="s">
        <v>7180</v>
      </c>
    </row>
    <row r="5015" spans="1:2" x14ac:dyDescent="0.25">
      <c r="A5015" s="57">
        <v>31181604</v>
      </c>
      <c r="B5015" s="58" t="s">
        <v>11660</v>
      </c>
    </row>
    <row r="5016" spans="1:2" x14ac:dyDescent="0.25">
      <c r="A5016" s="57">
        <v>31181605</v>
      </c>
      <c r="B5016" s="58" t="s">
        <v>15583</v>
      </c>
    </row>
    <row r="5017" spans="1:2" x14ac:dyDescent="0.25">
      <c r="A5017" s="57">
        <v>31181606</v>
      </c>
      <c r="B5017" s="58" t="s">
        <v>4014</v>
      </c>
    </row>
    <row r="5018" spans="1:2" x14ac:dyDescent="0.25">
      <c r="A5018" s="57">
        <v>31181607</v>
      </c>
      <c r="B5018" s="58" t="s">
        <v>14502</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18698</v>
      </c>
    </row>
    <row r="5031" spans="1:2" x14ac:dyDescent="0.25">
      <c r="A5031" s="57">
        <v>31191511</v>
      </c>
      <c r="B5031" s="58" t="s">
        <v>4573</v>
      </c>
    </row>
    <row r="5032" spans="1:2" x14ac:dyDescent="0.25">
      <c r="A5032" s="57">
        <v>31191512</v>
      </c>
      <c r="B5032" s="58" t="s">
        <v>11478</v>
      </c>
    </row>
    <row r="5033" spans="1:2" x14ac:dyDescent="0.25">
      <c r="A5033" s="57">
        <v>31191513</v>
      </c>
      <c r="B5033" s="58" t="s">
        <v>13273</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11776</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17516</v>
      </c>
    </row>
    <row r="5044" spans="1:2" x14ac:dyDescent="0.25">
      <c r="A5044" s="57">
        <v>31201502</v>
      </c>
      <c r="B5044" s="58" t="s">
        <v>12254</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14337</v>
      </c>
    </row>
    <row r="5051" spans="1:2" x14ac:dyDescent="0.25">
      <c r="A5051" s="57">
        <v>31201509</v>
      </c>
      <c r="B5051" s="58" t="s">
        <v>6014</v>
      </c>
    </row>
    <row r="5052" spans="1:2" x14ac:dyDescent="0.25">
      <c r="A5052" s="57">
        <v>31201510</v>
      </c>
      <c r="B5052" s="58" t="s">
        <v>14220</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6799</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4109</v>
      </c>
    </row>
    <row r="5067" spans="1:2" x14ac:dyDescent="0.25">
      <c r="A5067" s="57">
        <v>31201525</v>
      </c>
      <c r="B5067" s="58" t="s">
        <v>11765</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14094</v>
      </c>
    </row>
    <row r="5072" spans="1:2" x14ac:dyDescent="0.25">
      <c r="A5072" s="57">
        <v>31201602</v>
      </c>
      <c r="B5072" s="58" t="s">
        <v>17231</v>
      </c>
    </row>
    <row r="5073" spans="1:2" x14ac:dyDescent="0.25">
      <c r="A5073" s="57">
        <v>31201603</v>
      </c>
      <c r="B5073" s="58" t="s">
        <v>5456</v>
      </c>
    </row>
    <row r="5074" spans="1:2" x14ac:dyDescent="0.25">
      <c r="A5074" s="57">
        <v>31201604</v>
      </c>
      <c r="B5074" s="58" t="s">
        <v>12912</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16384</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14246</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11171</v>
      </c>
    </row>
    <row r="5096" spans="1:2" x14ac:dyDescent="0.25">
      <c r="A5096" s="57">
        <v>31211509</v>
      </c>
      <c r="B5096" s="58" t="s">
        <v>18659</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12827</v>
      </c>
    </row>
    <row r="5104" spans="1:2" x14ac:dyDescent="0.25">
      <c r="A5104" s="57">
        <v>31211605</v>
      </c>
      <c r="B5104" s="58" t="s">
        <v>5562</v>
      </c>
    </row>
    <row r="5105" spans="1:2" x14ac:dyDescent="0.25">
      <c r="A5105" s="57">
        <v>31211606</v>
      </c>
      <c r="B5105" s="58" t="s">
        <v>14562</v>
      </c>
    </row>
    <row r="5106" spans="1:2" x14ac:dyDescent="0.25">
      <c r="A5106" s="57">
        <v>31211701</v>
      </c>
      <c r="B5106" s="58" t="s">
        <v>11721</v>
      </c>
    </row>
    <row r="5107" spans="1:2" x14ac:dyDescent="0.25">
      <c r="A5107" s="57">
        <v>31211702</v>
      </c>
      <c r="B5107" s="58" t="s">
        <v>18673</v>
      </c>
    </row>
    <row r="5108" spans="1:2" x14ac:dyDescent="0.25">
      <c r="A5108" s="57">
        <v>31211703</v>
      </c>
      <c r="B5108" s="58" t="s">
        <v>11442</v>
      </c>
    </row>
    <row r="5109" spans="1:2" x14ac:dyDescent="0.25">
      <c r="A5109" s="57">
        <v>31211704</v>
      </c>
      <c r="B5109" s="58" t="s">
        <v>9544</v>
      </c>
    </row>
    <row r="5110" spans="1:2" x14ac:dyDescent="0.25">
      <c r="A5110" s="57">
        <v>31211705</v>
      </c>
      <c r="B5110" s="58" t="s">
        <v>15604</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5474</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9182</v>
      </c>
    </row>
    <row r="5119" spans="1:2" x14ac:dyDescent="0.25">
      <c r="A5119" s="57">
        <v>31211903</v>
      </c>
      <c r="B5119" s="58" t="s">
        <v>14013</v>
      </c>
    </row>
    <row r="5120" spans="1:2" x14ac:dyDescent="0.25">
      <c r="A5120" s="57">
        <v>31211904</v>
      </c>
      <c r="B5120" s="58" t="s">
        <v>16355</v>
      </c>
    </row>
    <row r="5121" spans="1:2" x14ac:dyDescent="0.25">
      <c r="A5121" s="57">
        <v>31211905</v>
      </c>
      <c r="B5121" s="58" t="s">
        <v>4266</v>
      </c>
    </row>
    <row r="5122" spans="1:2" x14ac:dyDescent="0.25">
      <c r="A5122" s="57">
        <v>31211906</v>
      </c>
      <c r="B5122" s="58" t="s">
        <v>10527</v>
      </c>
    </row>
    <row r="5123" spans="1:2" x14ac:dyDescent="0.25">
      <c r="A5123" s="57">
        <v>31211908</v>
      </c>
      <c r="B5123" s="58" t="s">
        <v>10733</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12005</v>
      </c>
    </row>
    <row r="5130" spans="1:2" x14ac:dyDescent="0.25">
      <c r="A5130" s="57">
        <v>31211916</v>
      </c>
      <c r="B5130" s="58" t="s">
        <v>15149</v>
      </c>
    </row>
    <row r="5131" spans="1:2" x14ac:dyDescent="0.25">
      <c r="A5131" s="57">
        <v>31211917</v>
      </c>
      <c r="B5131" s="58" t="s">
        <v>7495</v>
      </c>
    </row>
    <row r="5132" spans="1:2" x14ac:dyDescent="0.25">
      <c r="A5132" s="57">
        <v>31221601</v>
      </c>
      <c r="B5132" s="58" t="s">
        <v>18021</v>
      </c>
    </row>
    <row r="5133" spans="1:2" x14ac:dyDescent="0.25">
      <c r="A5133" s="57">
        <v>31221602</v>
      </c>
      <c r="B5133" s="58" t="s">
        <v>13729</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12723</v>
      </c>
    </row>
    <row r="5144" spans="1:2" x14ac:dyDescent="0.25">
      <c r="A5144" s="57">
        <v>31231110</v>
      </c>
      <c r="B5144" s="58" t="s">
        <v>18674</v>
      </c>
    </row>
    <row r="5145" spans="1:2" x14ac:dyDescent="0.25">
      <c r="A5145" s="57">
        <v>31231111</v>
      </c>
      <c r="B5145" s="58" t="s">
        <v>5470</v>
      </c>
    </row>
    <row r="5146" spans="1:2" x14ac:dyDescent="0.25">
      <c r="A5146" s="57">
        <v>31231112</v>
      </c>
      <c r="B5146" s="58" t="s">
        <v>12545</v>
      </c>
    </row>
    <row r="5147" spans="1:2" x14ac:dyDescent="0.25">
      <c r="A5147" s="57">
        <v>31231113</v>
      </c>
      <c r="B5147" s="58" t="s">
        <v>11878</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14215</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14333</v>
      </c>
    </row>
    <row r="5160" spans="1:2" x14ac:dyDescent="0.25">
      <c r="A5160" s="57">
        <v>31231207</v>
      </c>
      <c r="B5160" s="58" t="s">
        <v>17524</v>
      </c>
    </row>
    <row r="5161" spans="1:2" x14ac:dyDescent="0.25">
      <c r="A5161" s="57">
        <v>31231208</v>
      </c>
      <c r="B5161" s="58" t="s">
        <v>5500</v>
      </c>
    </row>
    <row r="5162" spans="1:2" x14ac:dyDescent="0.25">
      <c r="A5162" s="57">
        <v>31231209</v>
      </c>
      <c r="B5162" s="58" t="s">
        <v>18265</v>
      </c>
    </row>
    <row r="5163" spans="1:2" x14ac:dyDescent="0.25">
      <c r="A5163" s="57">
        <v>31231210</v>
      </c>
      <c r="B5163" s="58" t="s">
        <v>14698</v>
      </c>
    </row>
    <row r="5164" spans="1:2" x14ac:dyDescent="0.25">
      <c r="A5164" s="57">
        <v>31231211</v>
      </c>
      <c r="B5164" s="58" t="s">
        <v>16339</v>
      </c>
    </row>
    <row r="5165" spans="1:2" x14ac:dyDescent="0.25">
      <c r="A5165" s="57">
        <v>31231212</v>
      </c>
      <c r="B5165" s="58" t="s">
        <v>13229</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11914</v>
      </c>
    </row>
    <row r="5170" spans="1:2" x14ac:dyDescent="0.25">
      <c r="A5170" s="57">
        <v>31231217</v>
      </c>
      <c r="B5170" s="58" t="s">
        <v>13391</v>
      </c>
    </row>
    <row r="5171" spans="1:2" x14ac:dyDescent="0.25">
      <c r="A5171" s="57">
        <v>31231218</v>
      </c>
      <c r="B5171" s="58" t="s">
        <v>9194</v>
      </c>
    </row>
    <row r="5172" spans="1:2" x14ac:dyDescent="0.25">
      <c r="A5172" s="57">
        <v>31231219</v>
      </c>
      <c r="B5172" s="58" t="s">
        <v>3218</v>
      </c>
    </row>
    <row r="5173" spans="1:2" x14ac:dyDescent="0.25">
      <c r="A5173" s="57">
        <v>31231301</v>
      </c>
      <c r="B5173" s="58" t="s">
        <v>17328</v>
      </c>
    </row>
    <row r="5174" spans="1:2" x14ac:dyDescent="0.25">
      <c r="A5174" s="57">
        <v>31231302</v>
      </c>
      <c r="B5174" s="58" t="s">
        <v>11483</v>
      </c>
    </row>
    <row r="5175" spans="1:2" x14ac:dyDescent="0.25">
      <c r="A5175" s="57">
        <v>31231303</v>
      </c>
      <c r="B5175" s="58" t="s">
        <v>138</v>
      </c>
    </row>
    <row r="5176" spans="1:2" x14ac:dyDescent="0.25">
      <c r="A5176" s="57">
        <v>31231304</v>
      </c>
      <c r="B5176" s="58" t="s">
        <v>5397</v>
      </c>
    </row>
    <row r="5177" spans="1:2" x14ac:dyDescent="0.25">
      <c r="A5177" s="57">
        <v>31231305</v>
      </c>
      <c r="B5177" s="58" t="s">
        <v>13754</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14352</v>
      </c>
    </row>
    <row r="5182" spans="1:2" x14ac:dyDescent="0.25">
      <c r="A5182" s="57">
        <v>31231310</v>
      </c>
      <c r="B5182" s="58" t="s">
        <v>13451</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10016</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17329</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11295</v>
      </c>
    </row>
    <row r="5200" spans="1:2" x14ac:dyDescent="0.25">
      <c r="A5200" s="57">
        <v>31241502</v>
      </c>
      <c r="B5200" s="58" t="s">
        <v>9847</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6167</v>
      </c>
    </row>
    <row r="5205" spans="1:2" x14ac:dyDescent="0.25">
      <c r="A5205" s="57">
        <v>31241605</v>
      </c>
      <c r="B5205" s="58" t="s">
        <v>4737</v>
      </c>
    </row>
    <row r="5206" spans="1:2" x14ac:dyDescent="0.25">
      <c r="A5206" s="57">
        <v>31241606</v>
      </c>
      <c r="B5206" s="58" t="s">
        <v>4121</v>
      </c>
    </row>
    <row r="5207" spans="1:2" x14ac:dyDescent="0.25">
      <c r="A5207" s="57">
        <v>31241607</v>
      </c>
      <c r="B5207" s="58" t="s">
        <v>11699</v>
      </c>
    </row>
    <row r="5208" spans="1:2" x14ac:dyDescent="0.25">
      <c r="A5208" s="57">
        <v>31241608</v>
      </c>
      <c r="B5208" s="58" t="s">
        <v>4029</v>
      </c>
    </row>
    <row r="5209" spans="1:2" x14ac:dyDescent="0.25">
      <c r="A5209" s="57">
        <v>31241609</v>
      </c>
      <c r="B5209" s="58" t="s">
        <v>12594</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13394</v>
      </c>
    </row>
    <row r="5214" spans="1:2" x14ac:dyDescent="0.25">
      <c r="A5214" s="57">
        <v>31241704</v>
      </c>
      <c r="B5214" s="58" t="s">
        <v>12081</v>
      </c>
    </row>
    <row r="5215" spans="1:2" x14ac:dyDescent="0.25">
      <c r="A5215" s="57">
        <v>31241705</v>
      </c>
      <c r="B5215" s="58" t="s">
        <v>18524</v>
      </c>
    </row>
    <row r="5216" spans="1:2" x14ac:dyDescent="0.25">
      <c r="A5216" s="57">
        <v>31241801</v>
      </c>
      <c r="B5216" s="58" t="s">
        <v>3175</v>
      </c>
    </row>
    <row r="5217" spans="1:2" x14ac:dyDescent="0.25">
      <c r="A5217" s="57">
        <v>31241802</v>
      </c>
      <c r="B5217" s="58" t="s">
        <v>13469</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14342</v>
      </c>
    </row>
    <row r="5225" spans="1:2" x14ac:dyDescent="0.25">
      <c r="A5225" s="57">
        <v>31241903</v>
      </c>
      <c r="B5225" s="58" t="s">
        <v>5564</v>
      </c>
    </row>
    <row r="5226" spans="1:2" x14ac:dyDescent="0.25">
      <c r="A5226" s="57">
        <v>31241904</v>
      </c>
      <c r="B5226" s="58" t="s">
        <v>14164</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12113</v>
      </c>
    </row>
    <row r="5234" spans="1:2" x14ac:dyDescent="0.25">
      <c r="A5234" s="57">
        <v>31242101</v>
      </c>
      <c r="B5234" s="58" t="s">
        <v>17819</v>
      </c>
    </row>
    <row r="5235" spans="1:2" x14ac:dyDescent="0.25">
      <c r="A5235" s="57">
        <v>31242103</v>
      </c>
      <c r="B5235" s="58" t="s">
        <v>10053</v>
      </c>
    </row>
    <row r="5236" spans="1:2" x14ac:dyDescent="0.25">
      <c r="A5236" s="57">
        <v>31242104</v>
      </c>
      <c r="B5236" s="58" t="s">
        <v>8945</v>
      </c>
    </row>
    <row r="5237" spans="1:2" x14ac:dyDescent="0.25">
      <c r="A5237" s="57">
        <v>31242105</v>
      </c>
      <c r="B5237" s="58" t="s">
        <v>8843</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18632</v>
      </c>
    </row>
    <row r="5242" spans="1:2" x14ac:dyDescent="0.25">
      <c r="A5242" s="57">
        <v>31242204</v>
      </c>
      <c r="B5242" s="58" t="s">
        <v>18244</v>
      </c>
    </row>
    <row r="5243" spans="1:2" x14ac:dyDescent="0.25">
      <c r="A5243" s="57">
        <v>31242205</v>
      </c>
      <c r="B5243" s="58" t="s">
        <v>9750</v>
      </c>
    </row>
    <row r="5244" spans="1:2" x14ac:dyDescent="0.25">
      <c r="A5244" s="57">
        <v>31242206</v>
      </c>
      <c r="B5244" s="58" t="s">
        <v>17609</v>
      </c>
    </row>
    <row r="5245" spans="1:2" x14ac:dyDescent="0.25">
      <c r="A5245" s="57">
        <v>31242207</v>
      </c>
      <c r="B5245" s="58" t="s">
        <v>14602</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12656</v>
      </c>
    </row>
    <row r="5250" spans="1:2" x14ac:dyDescent="0.25">
      <c r="A5250" s="57">
        <v>31251504</v>
      </c>
      <c r="B5250" s="58" t="s">
        <v>15309</v>
      </c>
    </row>
    <row r="5251" spans="1:2" x14ac:dyDescent="0.25">
      <c r="A5251" s="57">
        <v>31251505</v>
      </c>
      <c r="B5251" s="58" t="s">
        <v>18668</v>
      </c>
    </row>
    <row r="5252" spans="1:2" x14ac:dyDescent="0.25">
      <c r="A5252" s="57">
        <v>31251506</v>
      </c>
      <c r="B5252" s="58" t="s">
        <v>4964</v>
      </c>
    </row>
    <row r="5253" spans="1:2" x14ac:dyDescent="0.25">
      <c r="A5253" s="57">
        <v>31251507</v>
      </c>
      <c r="B5253" s="58" t="s">
        <v>13782</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13508</v>
      </c>
    </row>
    <row r="5281" spans="1:2" x14ac:dyDescent="0.25">
      <c r="A5281" s="57">
        <v>31281510</v>
      </c>
      <c r="B5281" s="58" t="s">
        <v>10867</v>
      </c>
    </row>
    <row r="5282" spans="1:2" x14ac:dyDescent="0.25">
      <c r="A5282" s="57">
        <v>31281511</v>
      </c>
      <c r="B5282" s="58" t="s">
        <v>12856</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12949</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10030</v>
      </c>
    </row>
    <row r="5292" spans="1:2" x14ac:dyDescent="0.25">
      <c r="A5292" s="57">
        <v>31281521</v>
      </c>
      <c r="B5292" s="58" t="s">
        <v>14915</v>
      </c>
    </row>
    <row r="5293" spans="1:2" x14ac:dyDescent="0.25">
      <c r="A5293" s="57">
        <v>31281701</v>
      </c>
      <c r="B5293" s="58" t="s">
        <v>18637</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17362</v>
      </c>
    </row>
    <row r="5307" spans="1:2" x14ac:dyDescent="0.25">
      <c r="A5307" s="57">
        <v>31281814</v>
      </c>
      <c r="B5307" s="58" t="s">
        <v>5650</v>
      </c>
    </row>
    <row r="5308" spans="1:2" x14ac:dyDescent="0.25">
      <c r="A5308" s="57">
        <v>31281815</v>
      </c>
      <c r="B5308" s="58" t="s">
        <v>5477</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6189</v>
      </c>
    </row>
    <row r="5313" spans="1:2" x14ac:dyDescent="0.25">
      <c r="A5313" s="57">
        <v>31281901</v>
      </c>
      <c r="B5313" s="58" t="s">
        <v>10778</v>
      </c>
    </row>
    <row r="5314" spans="1:2" x14ac:dyDescent="0.25">
      <c r="A5314" s="57">
        <v>31281902</v>
      </c>
      <c r="B5314" s="58" t="s">
        <v>5875</v>
      </c>
    </row>
    <row r="5315" spans="1:2" x14ac:dyDescent="0.25">
      <c r="A5315" s="57">
        <v>31281903</v>
      </c>
      <c r="B5315" s="58" t="s">
        <v>15197</v>
      </c>
    </row>
    <row r="5316" spans="1:2" x14ac:dyDescent="0.25">
      <c r="A5316" s="57">
        <v>31281904</v>
      </c>
      <c r="B5316" s="58" t="s">
        <v>3355</v>
      </c>
    </row>
    <row r="5317" spans="1:2" x14ac:dyDescent="0.25">
      <c r="A5317" s="57">
        <v>31281905</v>
      </c>
      <c r="B5317" s="58" t="s">
        <v>10811</v>
      </c>
    </row>
    <row r="5318" spans="1:2" x14ac:dyDescent="0.25">
      <c r="A5318" s="57">
        <v>31281906</v>
      </c>
      <c r="B5318" s="58" t="s">
        <v>15832</v>
      </c>
    </row>
    <row r="5319" spans="1:2" x14ac:dyDescent="0.25">
      <c r="A5319" s="57">
        <v>31281907</v>
      </c>
      <c r="B5319" s="58" t="s">
        <v>17828</v>
      </c>
    </row>
    <row r="5320" spans="1:2" x14ac:dyDescent="0.25">
      <c r="A5320" s="57">
        <v>31281908</v>
      </c>
      <c r="B5320" s="58" t="s">
        <v>2103</v>
      </c>
    </row>
    <row r="5321" spans="1:2" x14ac:dyDescent="0.25">
      <c r="A5321" s="57">
        <v>31281909</v>
      </c>
      <c r="B5321" s="58" t="s">
        <v>14281</v>
      </c>
    </row>
    <row r="5322" spans="1:2" x14ac:dyDescent="0.25">
      <c r="A5322" s="57">
        <v>31281910</v>
      </c>
      <c r="B5322" s="58" t="s">
        <v>13113</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17594</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13342</v>
      </c>
    </row>
    <row r="5344" spans="1:2" x14ac:dyDescent="0.25">
      <c r="A5344" s="57">
        <v>31282013</v>
      </c>
      <c r="B5344" s="58" t="s">
        <v>8398</v>
      </c>
    </row>
    <row r="5345" spans="1:2" x14ac:dyDescent="0.25">
      <c r="A5345" s="57">
        <v>31282014</v>
      </c>
      <c r="B5345" s="58" t="s">
        <v>14138</v>
      </c>
    </row>
    <row r="5346" spans="1:2" x14ac:dyDescent="0.25">
      <c r="A5346" s="57">
        <v>31282015</v>
      </c>
      <c r="B5346" s="58" t="s">
        <v>9579</v>
      </c>
    </row>
    <row r="5347" spans="1:2" x14ac:dyDescent="0.25">
      <c r="A5347" s="57">
        <v>31282016</v>
      </c>
      <c r="B5347" s="58" t="s">
        <v>13840</v>
      </c>
    </row>
    <row r="5348" spans="1:2" x14ac:dyDescent="0.25">
      <c r="A5348" s="57">
        <v>31282017</v>
      </c>
      <c r="B5348" s="58" t="s">
        <v>9416</v>
      </c>
    </row>
    <row r="5349" spans="1:2" x14ac:dyDescent="0.25">
      <c r="A5349" s="57">
        <v>31282018</v>
      </c>
      <c r="B5349" s="58" t="s">
        <v>10598</v>
      </c>
    </row>
    <row r="5350" spans="1:2" x14ac:dyDescent="0.25">
      <c r="A5350" s="57">
        <v>31282019</v>
      </c>
      <c r="B5350" s="58" t="s">
        <v>14222</v>
      </c>
    </row>
    <row r="5351" spans="1:2" x14ac:dyDescent="0.25">
      <c r="A5351" s="57">
        <v>31282101</v>
      </c>
      <c r="B5351" s="58" t="s">
        <v>5010</v>
      </c>
    </row>
    <row r="5352" spans="1:2" x14ac:dyDescent="0.25">
      <c r="A5352" s="57">
        <v>31282102</v>
      </c>
      <c r="B5352" s="58" t="s">
        <v>14009</v>
      </c>
    </row>
    <row r="5353" spans="1:2" x14ac:dyDescent="0.25">
      <c r="A5353" s="57">
        <v>31282103</v>
      </c>
      <c r="B5353" s="58" t="s">
        <v>8830</v>
      </c>
    </row>
    <row r="5354" spans="1:2" x14ac:dyDescent="0.25">
      <c r="A5354" s="57">
        <v>31282104</v>
      </c>
      <c r="B5354" s="58" t="s">
        <v>12983</v>
      </c>
    </row>
    <row r="5355" spans="1:2" x14ac:dyDescent="0.25">
      <c r="A5355" s="57">
        <v>31282105</v>
      </c>
      <c r="B5355" s="58" t="s">
        <v>11894</v>
      </c>
    </row>
    <row r="5356" spans="1:2" x14ac:dyDescent="0.25">
      <c r="A5356" s="57">
        <v>31282106</v>
      </c>
      <c r="B5356" s="58" t="s">
        <v>7768</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14006</v>
      </c>
    </row>
    <row r="5361" spans="1:2" x14ac:dyDescent="0.25">
      <c r="A5361" s="57">
        <v>31282111</v>
      </c>
      <c r="B5361" s="58" t="s">
        <v>8956</v>
      </c>
    </row>
    <row r="5362" spans="1:2" x14ac:dyDescent="0.25">
      <c r="A5362" s="57">
        <v>31282112</v>
      </c>
      <c r="B5362" s="58" t="s">
        <v>13861</v>
      </c>
    </row>
    <row r="5363" spans="1:2" x14ac:dyDescent="0.25">
      <c r="A5363" s="57">
        <v>31282113</v>
      </c>
      <c r="B5363" s="58" t="s">
        <v>11895</v>
      </c>
    </row>
    <row r="5364" spans="1:2" x14ac:dyDescent="0.25">
      <c r="A5364" s="57">
        <v>31282114</v>
      </c>
      <c r="B5364" s="58" t="s">
        <v>14514</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6624</v>
      </c>
    </row>
    <row r="5370" spans="1:2" x14ac:dyDescent="0.25">
      <c r="A5370" s="57">
        <v>31282201</v>
      </c>
      <c r="B5370" s="58" t="s">
        <v>10837</v>
      </c>
    </row>
    <row r="5371" spans="1:2" x14ac:dyDescent="0.25">
      <c r="A5371" s="57">
        <v>31282202</v>
      </c>
      <c r="B5371" s="58" t="s">
        <v>15270</v>
      </c>
    </row>
    <row r="5372" spans="1:2" x14ac:dyDescent="0.25">
      <c r="A5372" s="57">
        <v>31282203</v>
      </c>
      <c r="B5372" s="58" t="s">
        <v>12750</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10406</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17513</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6183</v>
      </c>
    </row>
    <row r="5394" spans="1:2" x14ac:dyDescent="0.25">
      <c r="A5394" s="57">
        <v>31282306</v>
      </c>
      <c r="B5394" s="58" t="s">
        <v>14003</v>
      </c>
    </row>
    <row r="5395" spans="1:2" x14ac:dyDescent="0.25">
      <c r="A5395" s="57">
        <v>31282307</v>
      </c>
      <c r="B5395" s="58" t="s">
        <v>14772</v>
      </c>
    </row>
    <row r="5396" spans="1:2" x14ac:dyDescent="0.25">
      <c r="A5396" s="57">
        <v>31282308</v>
      </c>
      <c r="B5396" s="58" t="s">
        <v>8735</v>
      </c>
    </row>
    <row r="5397" spans="1:2" x14ac:dyDescent="0.25">
      <c r="A5397" s="57">
        <v>31282309</v>
      </c>
      <c r="B5397" s="58" t="s">
        <v>9795</v>
      </c>
    </row>
    <row r="5398" spans="1:2" x14ac:dyDescent="0.25">
      <c r="A5398" s="57">
        <v>31282310</v>
      </c>
      <c r="B5398" s="58" t="s">
        <v>12974</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13589</v>
      </c>
    </row>
    <row r="5403" spans="1:2" x14ac:dyDescent="0.25">
      <c r="A5403" s="57">
        <v>31282315</v>
      </c>
      <c r="B5403" s="58" t="s">
        <v>16445</v>
      </c>
    </row>
    <row r="5404" spans="1:2" x14ac:dyDescent="0.25">
      <c r="A5404" s="57">
        <v>31282316</v>
      </c>
      <c r="B5404" s="58" t="s">
        <v>5021</v>
      </c>
    </row>
    <row r="5405" spans="1:2" x14ac:dyDescent="0.25">
      <c r="A5405" s="57">
        <v>31282317</v>
      </c>
      <c r="B5405" s="58" t="s">
        <v>13436</v>
      </c>
    </row>
    <row r="5406" spans="1:2" x14ac:dyDescent="0.25">
      <c r="A5406" s="57">
        <v>31282318</v>
      </c>
      <c r="B5406" s="58" t="s">
        <v>10599</v>
      </c>
    </row>
    <row r="5407" spans="1:2" x14ac:dyDescent="0.25">
      <c r="A5407" s="57">
        <v>31282319</v>
      </c>
      <c r="B5407" s="58" t="s">
        <v>9258</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6580</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11568</v>
      </c>
    </row>
    <row r="5418" spans="1:2" x14ac:dyDescent="0.25">
      <c r="A5418" s="57">
        <v>31282411</v>
      </c>
      <c r="B5418" s="58" t="s">
        <v>15637</v>
      </c>
    </row>
    <row r="5419" spans="1:2" x14ac:dyDescent="0.25">
      <c r="A5419" s="57">
        <v>31282412</v>
      </c>
      <c r="B5419" s="58" t="s">
        <v>2552</v>
      </c>
    </row>
    <row r="5420" spans="1:2" x14ac:dyDescent="0.25">
      <c r="A5420" s="57">
        <v>31282413</v>
      </c>
      <c r="B5420" s="58" t="s">
        <v>11957</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18672</v>
      </c>
    </row>
    <row r="5429" spans="1:2" x14ac:dyDescent="0.25">
      <c r="A5429" s="57">
        <v>31291103</v>
      </c>
      <c r="B5429" s="58" t="s">
        <v>865</v>
      </c>
    </row>
    <row r="5430" spans="1:2" x14ac:dyDescent="0.25">
      <c r="A5430" s="57">
        <v>31291104</v>
      </c>
      <c r="B5430" s="58" t="s">
        <v>12299</v>
      </c>
    </row>
    <row r="5431" spans="1:2" x14ac:dyDescent="0.25">
      <c r="A5431" s="57">
        <v>31291105</v>
      </c>
      <c r="B5431" s="58" t="s">
        <v>13750</v>
      </c>
    </row>
    <row r="5432" spans="1:2" x14ac:dyDescent="0.25">
      <c r="A5432" s="57">
        <v>31291106</v>
      </c>
      <c r="B5432" s="58" t="s">
        <v>18063</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12560</v>
      </c>
    </row>
    <row r="5440" spans="1:2" x14ac:dyDescent="0.25">
      <c r="A5440" s="57">
        <v>31291114</v>
      </c>
      <c r="B5440" s="58" t="s">
        <v>12231</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2893</v>
      </c>
    </row>
    <row r="5446" spans="1:2" x14ac:dyDescent="0.25">
      <c r="A5446" s="57">
        <v>31291120</v>
      </c>
      <c r="B5446" s="58" t="s">
        <v>13723</v>
      </c>
    </row>
    <row r="5447" spans="1:2" x14ac:dyDescent="0.25">
      <c r="A5447" s="57">
        <v>31291201</v>
      </c>
      <c r="B5447" s="58" t="s">
        <v>5988</v>
      </c>
    </row>
    <row r="5448" spans="1:2" x14ac:dyDescent="0.25">
      <c r="A5448" s="57">
        <v>31291202</v>
      </c>
      <c r="B5448" s="58" t="s">
        <v>18233</v>
      </c>
    </row>
    <row r="5449" spans="1:2" x14ac:dyDescent="0.25">
      <c r="A5449" s="57">
        <v>31291203</v>
      </c>
      <c r="B5449" s="58" t="s">
        <v>7611</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16844</v>
      </c>
    </row>
    <row r="5454" spans="1:2" x14ac:dyDescent="0.25">
      <c r="A5454" s="57">
        <v>31291208</v>
      </c>
      <c r="B5454" s="58" t="s">
        <v>14320</v>
      </c>
    </row>
    <row r="5455" spans="1:2" x14ac:dyDescent="0.25">
      <c r="A5455" s="57">
        <v>31291209</v>
      </c>
      <c r="B5455" s="58" t="s">
        <v>8334</v>
      </c>
    </row>
    <row r="5456" spans="1:2" x14ac:dyDescent="0.25">
      <c r="A5456" s="57">
        <v>31291210</v>
      </c>
      <c r="B5456" s="58" t="s">
        <v>17621</v>
      </c>
    </row>
    <row r="5457" spans="1:2" x14ac:dyDescent="0.25">
      <c r="A5457" s="57">
        <v>31291211</v>
      </c>
      <c r="B5457" s="58" t="s">
        <v>5129</v>
      </c>
    </row>
    <row r="5458" spans="1:2" x14ac:dyDescent="0.25">
      <c r="A5458" s="57">
        <v>31291212</v>
      </c>
      <c r="B5458" s="58" t="s">
        <v>7604</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4232</v>
      </c>
    </row>
    <row r="5463" spans="1:2" x14ac:dyDescent="0.25">
      <c r="A5463" s="57">
        <v>31291217</v>
      </c>
      <c r="B5463" s="58" t="s">
        <v>6671</v>
      </c>
    </row>
    <row r="5464" spans="1:2" x14ac:dyDescent="0.25">
      <c r="A5464" s="57">
        <v>31291218</v>
      </c>
      <c r="B5464" s="58" t="s">
        <v>14697</v>
      </c>
    </row>
    <row r="5465" spans="1:2" x14ac:dyDescent="0.25">
      <c r="A5465" s="57">
        <v>31291219</v>
      </c>
      <c r="B5465" s="58" t="s">
        <v>12854</v>
      </c>
    </row>
    <row r="5466" spans="1:2" x14ac:dyDescent="0.25">
      <c r="A5466" s="57">
        <v>31291220</v>
      </c>
      <c r="B5466" s="58" t="s">
        <v>3836</v>
      </c>
    </row>
    <row r="5467" spans="1:2" x14ac:dyDescent="0.25">
      <c r="A5467" s="57">
        <v>31291301</v>
      </c>
      <c r="B5467" s="58" t="s">
        <v>16161</v>
      </c>
    </row>
    <row r="5468" spans="1:2" x14ac:dyDescent="0.25">
      <c r="A5468" s="57">
        <v>31291302</v>
      </c>
      <c r="B5468" s="58" t="s">
        <v>10968</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13333</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10264</v>
      </c>
    </row>
    <row r="5479" spans="1:2" x14ac:dyDescent="0.25">
      <c r="A5479" s="57">
        <v>31291313</v>
      </c>
      <c r="B5479" s="58" t="s">
        <v>3941</v>
      </c>
    </row>
    <row r="5480" spans="1:2" x14ac:dyDescent="0.25">
      <c r="A5480" s="57">
        <v>31291314</v>
      </c>
      <c r="B5480" s="58" t="s">
        <v>16744</v>
      </c>
    </row>
    <row r="5481" spans="1:2" x14ac:dyDescent="0.25">
      <c r="A5481" s="57">
        <v>31291315</v>
      </c>
      <c r="B5481" s="58" t="s">
        <v>10122</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13053</v>
      </c>
    </row>
    <row r="5495" spans="1:2" x14ac:dyDescent="0.25">
      <c r="A5495" s="57">
        <v>31291409</v>
      </c>
      <c r="B5495" s="58" t="s">
        <v>3200</v>
      </c>
    </row>
    <row r="5496" spans="1:2" x14ac:dyDescent="0.25">
      <c r="A5496" s="57">
        <v>31291410</v>
      </c>
      <c r="B5496" s="58" t="s">
        <v>17976</v>
      </c>
    </row>
    <row r="5497" spans="1:2" x14ac:dyDescent="0.25">
      <c r="A5497" s="57">
        <v>31291411</v>
      </c>
      <c r="B5497" s="58" t="s">
        <v>13760</v>
      </c>
    </row>
    <row r="5498" spans="1:2" x14ac:dyDescent="0.25">
      <c r="A5498" s="57">
        <v>31291412</v>
      </c>
      <c r="B5498" s="58" t="s">
        <v>14766</v>
      </c>
    </row>
    <row r="5499" spans="1:2" x14ac:dyDescent="0.25">
      <c r="A5499" s="57">
        <v>31291413</v>
      </c>
      <c r="B5499" s="58" t="s">
        <v>11937</v>
      </c>
    </row>
    <row r="5500" spans="1:2" x14ac:dyDescent="0.25">
      <c r="A5500" s="57">
        <v>31291414</v>
      </c>
      <c r="B5500" s="58" t="s">
        <v>14340</v>
      </c>
    </row>
    <row r="5501" spans="1:2" x14ac:dyDescent="0.25">
      <c r="A5501" s="57">
        <v>31291415</v>
      </c>
      <c r="B5501" s="58" t="s">
        <v>17435</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5455</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9733</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13822</v>
      </c>
    </row>
    <row r="5524" spans="1:2" x14ac:dyDescent="0.25">
      <c r="A5524" s="57">
        <v>31301118</v>
      </c>
      <c r="B5524" s="58" t="s">
        <v>4450</v>
      </c>
    </row>
    <row r="5525" spans="1:2" x14ac:dyDescent="0.25">
      <c r="A5525" s="57">
        <v>31301119</v>
      </c>
      <c r="B5525" s="58" t="s">
        <v>13302</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13474</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18819</v>
      </c>
    </row>
    <row r="5535" spans="1:2" x14ac:dyDescent="0.25">
      <c r="A5535" s="57">
        <v>31301210</v>
      </c>
      <c r="B5535" s="58" t="s">
        <v>4041</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17220</v>
      </c>
    </row>
    <row r="5549" spans="1:2" x14ac:dyDescent="0.25">
      <c r="A5549" s="57">
        <v>31301305</v>
      </c>
      <c r="B5549" s="58" t="s">
        <v>1476</v>
      </c>
    </row>
    <row r="5550" spans="1:2" x14ac:dyDescent="0.25">
      <c r="A5550" s="57">
        <v>31301306</v>
      </c>
      <c r="B5550" s="58" t="s">
        <v>14600</v>
      </c>
    </row>
    <row r="5551" spans="1:2" x14ac:dyDescent="0.25">
      <c r="A5551" s="57">
        <v>31301307</v>
      </c>
      <c r="B5551" s="58" t="s">
        <v>9198</v>
      </c>
    </row>
    <row r="5552" spans="1:2" x14ac:dyDescent="0.25">
      <c r="A5552" s="57">
        <v>31301308</v>
      </c>
      <c r="B5552" s="58" t="s">
        <v>18790</v>
      </c>
    </row>
    <row r="5553" spans="1:2" x14ac:dyDescent="0.25">
      <c r="A5553" s="57">
        <v>31301309</v>
      </c>
      <c r="B5553" s="58" t="s">
        <v>10208</v>
      </c>
    </row>
    <row r="5554" spans="1:2" x14ac:dyDescent="0.25">
      <c r="A5554" s="57">
        <v>31301310</v>
      </c>
      <c r="B5554" s="58" t="s">
        <v>13955</v>
      </c>
    </row>
    <row r="5555" spans="1:2" x14ac:dyDescent="0.25">
      <c r="A5555" s="57">
        <v>31301311</v>
      </c>
      <c r="B5555" s="58" t="s">
        <v>17260</v>
      </c>
    </row>
    <row r="5556" spans="1:2" x14ac:dyDescent="0.25">
      <c r="A5556" s="57">
        <v>31301312</v>
      </c>
      <c r="B5556" s="58" t="s">
        <v>18718</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17193</v>
      </c>
    </row>
    <row r="5563" spans="1:2" x14ac:dyDescent="0.25">
      <c r="A5563" s="57">
        <v>31301319</v>
      </c>
      <c r="B5563" s="58" t="s">
        <v>12042</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4753</v>
      </c>
    </row>
    <row r="5572" spans="1:2" x14ac:dyDescent="0.25">
      <c r="A5572" s="57">
        <v>31301409</v>
      </c>
      <c r="B5572" s="58" t="s">
        <v>17250</v>
      </c>
    </row>
    <row r="5573" spans="1:2" x14ac:dyDescent="0.25">
      <c r="A5573" s="57">
        <v>31301410</v>
      </c>
      <c r="B5573" s="58" t="s">
        <v>11226</v>
      </c>
    </row>
    <row r="5574" spans="1:2" x14ac:dyDescent="0.25">
      <c r="A5574" s="57">
        <v>31301411</v>
      </c>
      <c r="B5574" s="58" t="s">
        <v>6995</v>
      </c>
    </row>
    <row r="5575" spans="1:2" x14ac:dyDescent="0.25">
      <c r="A5575" s="57">
        <v>31301412</v>
      </c>
      <c r="B5575" s="58" t="s">
        <v>13985</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12133</v>
      </c>
    </row>
    <row r="5586" spans="1:2" x14ac:dyDescent="0.25">
      <c r="A5586" s="57">
        <v>31301504</v>
      </c>
      <c r="B5586" s="58" t="s">
        <v>9907</v>
      </c>
    </row>
    <row r="5587" spans="1:2" x14ac:dyDescent="0.25">
      <c r="A5587" s="57">
        <v>31301505</v>
      </c>
      <c r="B5587" s="58" t="s">
        <v>4934</v>
      </c>
    </row>
    <row r="5588" spans="1:2" x14ac:dyDescent="0.25">
      <c r="A5588" s="57">
        <v>31301506</v>
      </c>
      <c r="B5588" s="58" t="s">
        <v>3456</v>
      </c>
    </row>
    <row r="5589" spans="1:2" x14ac:dyDescent="0.25">
      <c r="A5589" s="57">
        <v>31301507</v>
      </c>
      <c r="B5589" s="58" t="s">
        <v>13308</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12963</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12865</v>
      </c>
    </row>
    <row r="5607" spans="1:2" x14ac:dyDescent="0.25">
      <c r="A5607" s="57">
        <v>31311106</v>
      </c>
      <c r="B5607" s="58" t="s">
        <v>7791</v>
      </c>
    </row>
    <row r="5608" spans="1:2" x14ac:dyDescent="0.25">
      <c r="A5608" s="57">
        <v>31311109</v>
      </c>
      <c r="B5608" s="58" t="s">
        <v>9714</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11245</v>
      </c>
    </row>
    <row r="5615" spans="1:2" x14ac:dyDescent="0.25">
      <c r="A5615" s="57">
        <v>31311203</v>
      </c>
      <c r="B5615" s="58" t="s">
        <v>11073</v>
      </c>
    </row>
    <row r="5616" spans="1:2" x14ac:dyDescent="0.25">
      <c r="A5616" s="57">
        <v>31311204</v>
      </c>
      <c r="B5616" s="58" t="s">
        <v>17064</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6544</v>
      </c>
    </row>
    <row r="5624" spans="1:2" x14ac:dyDescent="0.25">
      <c r="A5624" s="57">
        <v>31311301</v>
      </c>
      <c r="B5624" s="58" t="s">
        <v>12040</v>
      </c>
    </row>
    <row r="5625" spans="1:2" x14ac:dyDescent="0.25">
      <c r="A5625" s="57">
        <v>31311302</v>
      </c>
      <c r="B5625" s="58" t="s">
        <v>17547</v>
      </c>
    </row>
    <row r="5626" spans="1:2" x14ac:dyDescent="0.25">
      <c r="A5626" s="57">
        <v>31311303</v>
      </c>
      <c r="B5626" s="58" t="s">
        <v>10281</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12595</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16127</v>
      </c>
    </row>
    <row r="5641" spans="1:2" x14ac:dyDescent="0.25">
      <c r="A5641" s="57">
        <v>31311409</v>
      </c>
      <c r="B5641" s="58" t="s">
        <v>3783</v>
      </c>
    </row>
    <row r="5642" spans="1:2" x14ac:dyDescent="0.25">
      <c r="A5642" s="57">
        <v>31311410</v>
      </c>
      <c r="B5642" s="58" t="s">
        <v>12932</v>
      </c>
    </row>
    <row r="5643" spans="1:2" x14ac:dyDescent="0.25">
      <c r="A5643" s="57">
        <v>31311411</v>
      </c>
      <c r="B5643" s="58" t="s">
        <v>4340</v>
      </c>
    </row>
    <row r="5644" spans="1:2" x14ac:dyDescent="0.25">
      <c r="A5644" s="57">
        <v>31311412</v>
      </c>
      <c r="B5644" s="58" t="s">
        <v>9727</v>
      </c>
    </row>
    <row r="5645" spans="1:2" x14ac:dyDescent="0.25">
      <c r="A5645" s="57">
        <v>31311413</v>
      </c>
      <c r="B5645" s="58" t="s">
        <v>17916</v>
      </c>
    </row>
    <row r="5646" spans="1:2" x14ac:dyDescent="0.25">
      <c r="A5646" s="57">
        <v>31311501</v>
      </c>
      <c r="B5646" s="58" t="s">
        <v>11581</v>
      </c>
    </row>
    <row r="5647" spans="1:2" x14ac:dyDescent="0.25">
      <c r="A5647" s="57">
        <v>31311502</v>
      </c>
      <c r="B5647" s="58" t="s">
        <v>9542</v>
      </c>
    </row>
    <row r="5648" spans="1:2" x14ac:dyDescent="0.25">
      <c r="A5648" s="57">
        <v>31311503</v>
      </c>
      <c r="B5648" s="58" t="s">
        <v>1443</v>
      </c>
    </row>
    <row r="5649" spans="1:2" x14ac:dyDescent="0.25">
      <c r="A5649" s="57">
        <v>31311504</v>
      </c>
      <c r="B5649" s="58" t="s">
        <v>5882</v>
      </c>
    </row>
    <row r="5650" spans="1:2" x14ac:dyDescent="0.25">
      <c r="A5650" s="57">
        <v>31311505</v>
      </c>
      <c r="B5650" s="58" t="s">
        <v>16659</v>
      </c>
    </row>
    <row r="5651" spans="1:2" x14ac:dyDescent="0.25">
      <c r="A5651" s="57">
        <v>31311506</v>
      </c>
      <c r="B5651" s="58" t="s">
        <v>12436</v>
      </c>
    </row>
    <row r="5652" spans="1:2" x14ac:dyDescent="0.25">
      <c r="A5652" s="57">
        <v>31311509</v>
      </c>
      <c r="B5652" s="58" t="s">
        <v>6582</v>
      </c>
    </row>
    <row r="5653" spans="1:2" x14ac:dyDescent="0.25">
      <c r="A5653" s="57">
        <v>31311510</v>
      </c>
      <c r="B5653" s="58" t="s">
        <v>16989</v>
      </c>
    </row>
    <row r="5654" spans="1:2" x14ac:dyDescent="0.25">
      <c r="A5654" s="57">
        <v>31311511</v>
      </c>
      <c r="B5654" s="58" t="s">
        <v>17257</v>
      </c>
    </row>
    <row r="5655" spans="1:2" x14ac:dyDescent="0.25">
      <c r="A5655" s="57">
        <v>31311512</v>
      </c>
      <c r="B5655" s="58" t="s">
        <v>10928</v>
      </c>
    </row>
    <row r="5656" spans="1:2" x14ac:dyDescent="0.25">
      <c r="A5656" s="57">
        <v>31311513</v>
      </c>
      <c r="B5656" s="58" t="s">
        <v>4981</v>
      </c>
    </row>
    <row r="5657" spans="1:2" x14ac:dyDescent="0.25">
      <c r="A5657" s="57">
        <v>31311601</v>
      </c>
      <c r="B5657" s="58" t="s">
        <v>13500</v>
      </c>
    </row>
    <row r="5658" spans="1:2" x14ac:dyDescent="0.25">
      <c r="A5658" s="57">
        <v>31311602</v>
      </c>
      <c r="B5658" s="58" t="s">
        <v>8856</v>
      </c>
    </row>
    <row r="5659" spans="1:2" x14ac:dyDescent="0.25">
      <c r="A5659" s="57">
        <v>31311603</v>
      </c>
      <c r="B5659" s="58" t="s">
        <v>13237</v>
      </c>
    </row>
    <row r="5660" spans="1:2" x14ac:dyDescent="0.25">
      <c r="A5660" s="57">
        <v>31311604</v>
      </c>
      <c r="B5660" s="58" t="s">
        <v>2471</v>
      </c>
    </row>
    <row r="5661" spans="1:2" x14ac:dyDescent="0.25">
      <c r="A5661" s="57">
        <v>31311605</v>
      </c>
      <c r="B5661" s="58" t="s">
        <v>13797</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11653</v>
      </c>
    </row>
    <row r="5668" spans="1:2" x14ac:dyDescent="0.25">
      <c r="A5668" s="57">
        <v>31311701</v>
      </c>
      <c r="B5668" s="58" t="s">
        <v>12573</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18060</v>
      </c>
    </row>
    <row r="5673" spans="1:2" x14ac:dyDescent="0.25">
      <c r="A5673" s="57">
        <v>31311706</v>
      </c>
      <c r="B5673" s="58" t="s">
        <v>5982</v>
      </c>
    </row>
    <row r="5674" spans="1:2" x14ac:dyDescent="0.25">
      <c r="A5674" s="57">
        <v>31311709</v>
      </c>
      <c r="B5674" s="58" t="s">
        <v>13575</v>
      </c>
    </row>
    <row r="5675" spans="1:2" x14ac:dyDescent="0.25">
      <c r="A5675" s="57">
        <v>31311710</v>
      </c>
      <c r="B5675" s="58" t="s">
        <v>6384</v>
      </c>
    </row>
    <row r="5676" spans="1:2" x14ac:dyDescent="0.25">
      <c r="A5676" s="57">
        <v>31311711</v>
      </c>
      <c r="B5676" s="58" t="s">
        <v>6099</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10178</v>
      </c>
    </row>
    <row r="5681" spans="1:2" x14ac:dyDescent="0.25">
      <c r="A5681" s="57">
        <v>31321103</v>
      </c>
      <c r="B5681" s="58" t="s">
        <v>7594</v>
      </c>
    </row>
    <row r="5682" spans="1:2" x14ac:dyDescent="0.25">
      <c r="A5682" s="57">
        <v>31321104</v>
      </c>
      <c r="B5682" s="58" t="s">
        <v>6811</v>
      </c>
    </row>
    <row r="5683" spans="1:2" x14ac:dyDescent="0.25">
      <c r="A5683" s="57">
        <v>31321105</v>
      </c>
      <c r="B5683" s="58" t="s">
        <v>14317</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9529</v>
      </c>
    </row>
    <row r="5689" spans="1:2" x14ac:dyDescent="0.25">
      <c r="A5689" s="57">
        <v>31321113</v>
      </c>
      <c r="B5689" s="58" t="s">
        <v>13727</v>
      </c>
    </row>
    <row r="5690" spans="1:2" x14ac:dyDescent="0.25">
      <c r="A5690" s="57">
        <v>31321201</v>
      </c>
      <c r="B5690" s="58" t="s">
        <v>1879</v>
      </c>
    </row>
    <row r="5691" spans="1:2" x14ac:dyDescent="0.25">
      <c r="A5691" s="57">
        <v>31321202</v>
      </c>
      <c r="B5691" s="58" t="s">
        <v>4463</v>
      </c>
    </row>
    <row r="5692" spans="1:2" x14ac:dyDescent="0.25">
      <c r="A5692" s="57">
        <v>31321203</v>
      </c>
      <c r="B5692" s="58" t="s">
        <v>10116</v>
      </c>
    </row>
    <row r="5693" spans="1:2" x14ac:dyDescent="0.25">
      <c r="A5693" s="57">
        <v>31321204</v>
      </c>
      <c r="B5693" s="58" t="s">
        <v>5761</v>
      </c>
    </row>
    <row r="5694" spans="1:2" x14ac:dyDescent="0.25">
      <c r="A5694" s="57">
        <v>31321205</v>
      </c>
      <c r="B5694" s="58" t="s">
        <v>17271</v>
      </c>
    </row>
    <row r="5695" spans="1:2" x14ac:dyDescent="0.25">
      <c r="A5695" s="57">
        <v>31321206</v>
      </c>
      <c r="B5695" s="58" t="s">
        <v>17598</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17556</v>
      </c>
    </row>
    <row r="5708" spans="1:2" x14ac:dyDescent="0.25">
      <c r="A5708" s="57">
        <v>31321310</v>
      </c>
      <c r="B5708" s="58" t="s">
        <v>4546</v>
      </c>
    </row>
    <row r="5709" spans="1:2" x14ac:dyDescent="0.25">
      <c r="A5709" s="57">
        <v>31321311</v>
      </c>
      <c r="B5709" s="58" t="s">
        <v>12270</v>
      </c>
    </row>
    <row r="5710" spans="1:2" x14ac:dyDescent="0.25">
      <c r="A5710" s="57">
        <v>31321312</v>
      </c>
      <c r="B5710" s="58" t="s">
        <v>8279</v>
      </c>
    </row>
    <row r="5711" spans="1:2" x14ac:dyDescent="0.25">
      <c r="A5711" s="57">
        <v>31321313</v>
      </c>
      <c r="B5711" s="58" t="s">
        <v>7373</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12538</v>
      </c>
    </row>
    <row r="5722" spans="1:2" x14ac:dyDescent="0.25">
      <c r="A5722" s="57">
        <v>31321413</v>
      </c>
      <c r="B5722" s="58" t="s">
        <v>9291</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17241</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17692</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12417</v>
      </c>
    </row>
    <row r="5742" spans="1:2" x14ac:dyDescent="0.25">
      <c r="A5742" s="57">
        <v>31321611</v>
      </c>
      <c r="B5742" s="58" t="s">
        <v>4183</v>
      </c>
    </row>
    <row r="5743" spans="1:2" x14ac:dyDescent="0.25">
      <c r="A5743" s="57">
        <v>31321612</v>
      </c>
      <c r="B5743" s="58" t="s">
        <v>14775</v>
      </c>
    </row>
    <row r="5744" spans="1:2" x14ac:dyDescent="0.25">
      <c r="A5744" s="57">
        <v>31321613</v>
      </c>
      <c r="B5744" s="58" t="s">
        <v>10536</v>
      </c>
    </row>
    <row r="5745" spans="1:2" x14ac:dyDescent="0.25">
      <c r="A5745" s="57">
        <v>31321701</v>
      </c>
      <c r="B5745" s="58" t="s">
        <v>8097</v>
      </c>
    </row>
    <row r="5746" spans="1:2" x14ac:dyDescent="0.25">
      <c r="A5746" s="57">
        <v>31321702</v>
      </c>
      <c r="B5746" s="58" t="s">
        <v>17648</v>
      </c>
    </row>
    <row r="5747" spans="1:2" x14ac:dyDescent="0.25">
      <c r="A5747" s="57">
        <v>31321703</v>
      </c>
      <c r="B5747" s="58" t="s">
        <v>5587</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6901</v>
      </c>
    </row>
    <row r="5752" spans="1:2" x14ac:dyDescent="0.25">
      <c r="A5752" s="57">
        <v>31321710</v>
      </c>
      <c r="B5752" s="58" t="s">
        <v>7778</v>
      </c>
    </row>
    <row r="5753" spans="1:2" x14ac:dyDescent="0.25">
      <c r="A5753" s="57">
        <v>31321711</v>
      </c>
      <c r="B5753" s="58" t="s">
        <v>18760</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6132</v>
      </c>
    </row>
    <row r="5758" spans="1:2" x14ac:dyDescent="0.25">
      <c r="A5758" s="57">
        <v>31331103</v>
      </c>
      <c r="B5758" s="58" t="s">
        <v>13749</v>
      </c>
    </row>
    <row r="5759" spans="1:2" x14ac:dyDescent="0.25">
      <c r="A5759" s="57">
        <v>31331104</v>
      </c>
      <c r="B5759" s="58" t="s">
        <v>13862</v>
      </c>
    </row>
    <row r="5760" spans="1:2" x14ac:dyDescent="0.25">
      <c r="A5760" s="57">
        <v>31331105</v>
      </c>
      <c r="B5760" s="58" t="s">
        <v>11888</v>
      </c>
    </row>
    <row r="5761" spans="1:2" x14ac:dyDescent="0.25">
      <c r="A5761" s="57">
        <v>31331106</v>
      </c>
      <c r="B5761" s="58" t="s">
        <v>4153</v>
      </c>
    </row>
    <row r="5762" spans="1:2" x14ac:dyDescent="0.25">
      <c r="A5762" s="57">
        <v>31331109</v>
      </c>
      <c r="B5762" s="58" t="s">
        <v>8874</v>
      </c>
    </row>
    <row r="5763" spans="1:2" x14ac:dyDescent="0.25">
      <c r="A5763" s="57">
        <v>31331110</v>
      </c>
      <c r="B5763" s="58" t="s">
        <v>14718</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10089</v>
      </c>
    </row>
    <row r="5770" spans="1:2" x14ac:dyDescent="0.25">
      <c r="A5770" s="57">
        <v>31331204</v>
      </c>
      <c r="B5770" s="58" t="s">
        <v>4404</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15610</v>
      </c>
    </row>
    <row r="5775" spans="1:2" x14ac:dyDescent="0.25">
      <c r="A5775" s="57">
        <v>31331211</v>
      </c>
      <c r="B5775" s="58" t="s">
        <v>17229</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11798</v>
      </c>
    </row>
    <row r="5782" spans="1:2" x14ac:dyDescent="0.25">
      <c r="A5782" s="57">
        <v>31331305</v>
      </c>
      <c r="B5782" s="58" t="s">
        <v>2641</v>
      </c>
    </row>
    <row r="5783" spans="1:2" x14ac:dyDescent="0.25">
      <c r="A5783" s="57">
        <v>31331306</v>
      </c>
      <c r="B5783" s="58" t="s">
        <v>17793</v>
      </c>
    </row>
    <row r="5784" spans="1:2" x14ac:dyDescent="0.25">
      <c r="A5784" s="57">
        <v>31331309</v>
      </c>
      <c r="B5784" s="58" t="s">
        <v>1164</v>
      </c>
    </row>
    <row r="5785" spans="1:2" x14ac:dyDescent="0.25">
      <c r="A5785" s="57">
        <v>31331310</v>
      </c>
      <c r="B5785" s="58" t="s">
        <v>18681</v>
      </c>
    </row>
    <row r="5786" spans="1:2" x14ac:dyDescent="0.25">
      <c r="A5786" s="57">
        <v>31331311</v>
      </c>
      <c r="B5786" s="58" t="s">
        <v>13215</v>
      </c>
    </row>
    <row r="5787" spans="1:2" x14ac:dyDescent="0.25">
      <c r="A5787" s="57">
        <v>31331312</v>
      </c>
      <c r="B5787" s="58" t="s">
        <v>2427</v>
      </c>
    </row>
    <row r="5788" spans="1:2" x14ac:dyDescent="0.25">
      <c r="A5788" s="57">
        <v>31331313</v>
      </c>
      <c r="B5788" s="58" t="s">
        <v>18802</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18812</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6919</v>
      </c>
    </row>
    <row r="5797" spans="1:2" x14ac:dyDescent="0.25">
      <c r="A5797" s="57">
        <v>31331411</v>
      </c>
      <c r="B5797" s="58" t="s">
        <v>15933</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14057</v>
      </c>
    </row>
    <row r="5802" spans="1:2" x14ac:dyDescent="0.25">
      <c r="A5802" s="57">
        <v>31331503</v>
      </c>
      <c r="B5802" s="58" t="s">
        <v>7728</v>
      </c>
    </row>
    <row r="5803" spans="1:2" x14ac:dyDescent="0.25">
      <c r="A5803" s="57">
        <v>31331504</v>
      </c>
      <c r="B5803" s="58" t="s">
        <v>17606</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17322</v>
      </c>
    </row>
    <row r="5810" spans="1:2" x14ac:dyDescent="0.25">
      <c r="A5810" s="57">
        <v>31331513</v>
      </c>
      <c r="B5810" s="58" t="s">
        <v>6185</v>
      </c>
    </row>
    <row r="5811" spans="1:2" x14ac:dyDescent="0.25">
      <c r="A5811" s="57">
        <v>31331601</v>
      </c>
      <c r="B5811" s="58" t="s">
        <v>2235</v>
      </c>
    </row>
    <row r="5812" spans="1:2" x14ac:dyDescent="0.25">
      <c r="A5812" s="57">
        <v>31331602</v>
      </c>
      <c r="B5812" s="58" t="s">
        <v>8075</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9134</v>
      </c>
    </row>
    <row r="5817" spans="1:2" x14ac:dyDescent="0.25">
      <c r="A5817" s="57">
        <v>31331609</v>
      </c>
      <c r="B5817" s="58" t="s">
        <v>14081</v>
      </c>
    </row>
    <row r="5818" spans="1:2" x14ac:dyDescent="0.25">
      <c r="A5818" s="57">
        <v>31331610</v>
      </c>
      <c r="B5818" s="58" t="s">
        <v>7584</v>
      </c>
    </row>
    <row r="5819" spans="1:2" x14ac:dyDescent="0.25">
      <c r="A5819" s="57">
        <v>31331611</v>
      </c>
      <c r="B5819" s="58" t="s">
        <v>11596</v>
      </c>
    </row>
    <row r="5820" spans="1:2" x14ac:dyDescent="0.25">
      <c r="A5820" s="57">
        <v>31331612</v>
      </c>
      <c r="B5820" s="58" t="s">
        <v>13477</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17653</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17352</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6002</v>
      </c>
    </row>
    <row r="5840" spans="1:2" x14ac:dyDescent="0.25">
      <c r="A5840" s="57">
        <v>31341110</v>
      </c>
      <c r="B5840" s="58" t="s">
        <v>18018</v>
      </c>
    </row>
    <row r="5841" spans="1:2" x14ac:dyDescent="0.25">
      <c r="A5841" s="57">
        <v>31341111</v>
      </c>
      <c r="B5841" s="58" t="s">
        <v>4160</v>
      </c>
    </row>
    <row r="5842" spans="1:2" x14ac:dyDescent="0.25">
      <c r="A5842" s="57">
        <v>31341112</v>
      </c>
      <c r="B5842" s="58" t="s">
        <v>4834</v>
      </c>
    </row>
    <row r="5843" spans="1:2" x14ac:dyDescent="0.25">
      <c r="A5843" s="57">
        <v>31341113</v>
      </c>
      <c r="B5843" s="58" t="s">
        <v>12900</v>
      </c>
    </row>
    <row r="5844" spans="1:2" x14ac:dyDescent="0.25">
      <c r="A5844" s="57">
        <v>31341201</v>
      </c>
      <c r="B5844" s="58" t="s">
        <v>8153</v>
      </c>
    </row>
    <row r="5845" spans="1:2" x14ac:dyDescent="0.25">
      <c r="A5845" s="57">
        <v>31341202</v>
      </c>
      <c r="B5845" s="58" t="s">
        <v>1840</v>
      </c>
    </row>
    <row r="5846" spans="1:2" x14ac:dyDescent="0.25">
      <c r="A5846" s="57">
        <v>31341203</v>
      </c>
      <c r="B5846" s="58" t="s">
        <v>12706</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12992</v>
      </c>
    </row>
    <row r="5856" spans="1:2" x14ac:dyDescent="0.25">
      <c r="A5856" s="57">
        <v>31341302</v>
      </c>
      <c r="B5856" s="58" t="s">
        <v>17123</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7621</v>
      </c>
    </row>
    <row r="5875" spans="1:2" x14ac:dyDescent="0.25">
      <c r="A5875" s="57">
        <v>31341412</v>
      </c>
      <c r="B5875" s="58" t="s">
        <v>2711</v>
      </c>
    </row>
    <row r="5876" spans="1:2" x14ac:dyDescent="0.25">
      <c r="A5876" s="57">
        <v>31341413</v>
      </c>
      <c r="B5876" s="58" t="s">
        <v>17625</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11947</v>
      </c>
    </row>
    <row r="5881" spans="1:2" x14ac:dyDescent="0.25">
      <c r="A5881" s="57">
        <v>31341505</v>
      </c>
      <c r="B5881" s="58" t="s">
        <v>17827</v>
      </c>
    </row>
    <row r="5882" spans="1:2" x14ac:dyDescent="0.25">
      <c r="A5882" s="57">
        <v>31341506</v>
      </c>
      <c r="B5882" s="58" t="s">
        <v>9500</v>
      </c>
    </row>
    <row r="5883" spans="1:2" x14ac:dyDescent="0.25">
      <c r="A5883" s="57">
        <v>31341509</v>
      </c>
      <c r="B5883" s="58" t="s">
        <v>11963</v>
      </c>
    </row>
    <row r="5884" spans="1:2" x14ac:dyDescent="0.25">
      <c r="A5884" s="57">
        <v>31341510</v>
      </c>
      <c r="B5884" s="58" t="s">
        <v>15276</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18675</v>
      </c>
    </row>
    <row r="5889" spans="1:2" x14ac:dyDescent="0.25">
      <c r="A5889" s="57">
        <v>31341602</v>
      </c>
      <c r="B5889" s="58" t="s">
        <v>6691</v>
      </c>
    </row>
    <row r="5890" spans="1:2" x14ac:dyDescent="0.25">
      <c r="A5890" s="57">
        <v>31341603</v>
      </c>
      <c r="B5890" s="58" t="s">
        <v>13535</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10448</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18773</v>
      </c>
    </row>
    <row r="5902" spans="1:2" x14ac:dyDescent="0.25">
      <c r="A5902" s="57">
        <v>31341704</v>
      </c>
      <c r="B5902" s="58" t="s">
        <v>14118</v>
      </c>
    </row>
    <row r="5903" spans="1:2" x14ac:dyDescent="0.25">
      <c r="A5903" s="57">
        <v>31341705</v>
      </c>
      <c r="B5903" s="58" t="s">
        <v>17459</v>
      </c>
    </row>
    <row r="5904" spans="1:2" x14ac:dyDescent="0.25">
      <c r="A5904" s="57">
        <v>31341706</v>
      </c>
      <c r="B5904" s="58" t="s">
        <v>2080</v>
      </c>
    </row>
    <row r="5905" spans="1:2" x14ac:dyDescent="0.25">
      <c r="A5905" s="57">
        <v>31341709</v>
      </c>
      <c r="B5905" s="58" t="s">
        <v>14035</v>
      </c>
    </row>
    <row r="5906" spans="1:2" x14ac:dyDescent="0.25">
      <c r="A5906" s="57">
        <v>31341710</v>
      </c>
      <c r="B5906" s="58" t="s">
        <v>4628</v>
      </c>
    </row>
    <row r="5907" spans="1:2" x14ac:dyDescent="0.25">
      <c r="A5907" s="57">
        <v>31341711</v>
      </c>
      <c r="B5907" s="58" t="s">
        <v>16874</v>
      </c>
    </row>
    <row r="5908" spans="1:2" x14ac:dyDescent="0.25">
      <c r="A5908" s="57">
        <v>31341712</v>
      </c>
      <c r="B5908" s="58" t="s">
        <v>6263</v>
      </c>
    </row>
    <row r="5909" spans="1:2" x14ac:dyDescent="0.25">
      <c r="A5909" s="57">
        <v>31341713</v>
      </c>
      <c r="B5909" s="58" t="s">
        <v>17791</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14595</v>
      </c>
    </row>
    <row r="5916" spans="1:2" x14ac:dyDescent="0.25">
      <c r="A5916" s="57">
        <v>31351109</v>
      </c>
      <c r="B5916" s="58" t="s">
        <v>9127</v>
      </c>
    </row>
    <row r="5917" spans="1:2" x14ac:dyDescent="0.25">
      <c r="A5917" s="57">
        <v>31351110</v>
      </c>
      <c r="B5917" s="58" t="s">
        <v>14249</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11383</v>
      </c>
    </row>
    <row r="5928" spans="1:2" x14ac:dyDescent="0.25">
      <c r="A5928" s="57">
        <v>31351210</v>
      </c>
      <c r="B5928" s="58" t="s">
        <v>12775</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6246</v>
      </c>
    </row>
    <row r="5936" spans="1:2" x14ac:dyDescent="0.25">
      <c r="A5936" s="57">
        <v>31351305</v>
      </c>
      <c r="B5936" s="58" t="s">
        <v>7882</v>
      </c>
    </row>
    <row r="5937" spans="1:2" x14ac:dyDescent="0.25">
      <c r="A5937" s="57">
        <v>31351306</v>
      </c>
      <c r="B5937" s="58" t="s">
        <v>11004</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13416</v>
      </c>
    </row>
    <row r="5942" spans="1:2" x14ac:dyDescent="0.25">
      <c r="A5942" s="57">
        <v>31351313</v>
      </c>
      <c r="B5942" s="58" t="s">
        <v>14186</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13276</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7709</v>
      </c>
    </row>
    <row r="5964" spans="1:2" x14ac:dyDescent="0.25">
      <c r="A5964" s="57">
        <v>31351513</v>
      </c>
      <c r="B5964" s="58" t="s">
        <v>6062</v>
      </c>
    </row>
    <row r="5965" spans="1:2" x14ac:dyDescent="0.25">
      <c r="A5965" s="57">
        <v>31351601</v>
      </c>
      <c r="B5965" s="58" t="s">
        <v>1611</v>
      </c>
    </row>
    <row r="5966" spans="1:2" x14ac:dyDescent="0.25">
      <c r="A5966" s="57">
        <v>31351602</v>
      </c>
      <c r="B5966" s="58" t="s">
        <v>5508</v>
      </c>
    </row>
    <row r="5967" spans="1:2" x14ac:dyDescent="0.25">
      <c r="A5967" s="57">
        <v>31351603</v>
      </c>
      <c r="B5967" s="58" t="s">
        <v>17808</v>
      </c>
    </row>
    <row r="5968" spans="1:2" x14ac:dyDescent="0.25">
      <c r="A5968" s="57">
        <v>31351604</v>
      </c>
      <c r="B5968" s="58" t="s">
        <v>12297</v>
      </c>
    </row>
    <row r="5969" spans="1:2" x14ac:dyDescent="0.25">
      <c r="A5969" s="57">
        <v>31351605</v>
      </c>
      <c r="B5969" s="58" t="s">
        <v>15196</v>
      </c>
    </row>
    <row r="5970" spans="1:2" x14ac:dyDescent="0.25">
      <c r="A5970" s="57">
        <v>31351606</v>
      </c>
      <c r="B5970" s="58" t="s">
        <v>10126</v>
      </c>
    </row>
    <row r="5971" spans="1:2" x14ac:dyDescent="0.25">
      <c r="A5971" s="57">
        <v>31351609</v>
      </c>
      <c r="B5971" s="58" t="s">
        <v>9229</v>
      </c>
    </row>
    <row r="5972" spans="1:2" x14ac:dyDescent="0.25">
      <c r="A5972" s="57">
        <v>31351610</v>
      </c>
      <c r="B5972" s="58" t="s">
        <v>1967</v>
      </c>
    </row>
    <row r="5973" spans="1:2" x14ac:dyDescent="0.25">
      <c r="A5973" s="57">
        <v>31351611</v>
      </c>
      <c r="B5973" s="58" t="s">
        <v>10590</v>
      </c>
    </row>
    <row r="5974" spans="1:2" x14ac:dyDescent="0.25">
      <c r="A5974" s="57">
        <v>31351612</v>
      </c>
      <c r="B5974" s="58" t="s">
        <v>8100</v>
      </c>
    </row>
    <row r="5975" spans="1:2" x14ac:dyDescent="0.25">
      <c r="A5975" s="57">
        <v>31351613</v>
      </c>
      <c r="B5975" s="58" t="s">
        <v>13619</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7943</v>
      </c>
    </row>
    <row r="5981" spans="1:2" x14ac:dyDescent="0.25">
      <c r="A5981" s="57">
        <v>31351706</v>
      </c>
      <c r="B5981" s="58" t="s">
        <v>14296</v>
      </c>
    </row>
    <row r="5982" spans="1:2" x14ac:dyDescent="0.25">
      <c r="A5982" s="57">
        <v>31351709</v>
      </c>
      <c r="B5982" s="58" t="s">
        <v>8517</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11948</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17863</v>
      </c>
    </row>
    <row r="6000" spans="1:2" x14ac:dyDescent="0.25">
      <c r="A6000" s="57">
        <v>31361203</v>
      </c>
      <c r="B6000" s="58" t="s">
        <v>17596</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11884</v>
      </c>
    </row>
    <row r="6005" spans="1:2" x14ac:dyDescent="0.25">
      <c r="A6005" s="57">
        <v>31361210</v>
      </c>
      <c r="B6005" s="58" t="s">
        <v>17705</v>
      </c>
    </row>
    <row r="6006" spans="1:2" x14ac:dyDescent="0.25">
      <c r="A6006" s="57">
        <v>31361211</v>
      </c>
      <c r="B6006" s="58" t="s">
        <v>3291</v>
      </c>
    </row>
    <row r="6007" spans="1:2" x14ac:dyDescent="0.25">
      <c r="A6007" s="57">
        <v>31361212</v>
      </c>
      <c r="B6007" s="58" t="s">
        <v>1039</v>
      </c>
    </row>
    <row r="6008" spans="1:2" x14ac:dyDescent="0.25">
      <c r="A6008" s="57">
        <v>31361213</v>
      </c>
      <c r="B6008" s="58" t="s">
        <v>13588</v>
      </c>
    </row>
    <row r="6009" spans="1:2" x14ac:dyDescent="0.25">
      <c r="A6009" s="57">
        <v>31361301</v>
      </c>
      <c r="B6009" s="58" t="s">
        <v>13243</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17602</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12412</v>
      </c>
    </row>
    <row r="6025" spans="1:2" x14ac:dyDescent="0.25">
      <c r="A6025" s="57">
        <v>31361406</v>
      </c>
      <c r="B6025" s="58" t="s">
        <v>8223</v>
      </c>
    </row>
    <row r="6026" spans="1:2" x14ac:dyDescent="0.25">
      <c r="A6026" s="57">
        <v>31361409</v>
      </c>
      <c r="B6026" s="58" t="s">
        <v>14145</v>
      </c>
    </row>
    <row r="6027" spans="1:2" x14ac:dyDescent="0.25">
      <c r="A6027" s="57">
        <v>31361410</v>
      </c>
      <c r="B6027" s="58" t="s">
        <v>13077</v>
      </c>
    </row>
    <row r="6028" spans="1:2" x14ac:dyDescent="0.25">
      <c r="A6028" s="57">
        <v>31361411</v>
      </c>
      <c r="B6028" s="58" t="s">
        <v>7178</v>
      </c>
    </row>
    <row r="6029" spans="1:2" x14ac:dyDescent="0.25">
      <c r="A6029" s="57">
        <v>31361412</v>
      </c>
      <c r="B6029" s="58" t="s">
        <v>10306</v>
      </c>
    </row>
    <row r="6030" spans="1:2" x14ac:dyDescent="0.25">
      <c r="A6030" s="57">
        <v>31361413</v>
      </c>
      <c r="B6030" s="58" t="s">
        <v>10265</v>
      </c>
    </row>
    <row r="6031" spans="1:2" x14ac:dyDescent="0.25">
      <c r="A6031" s="57">
        <v>31361501</v>
      </c>
      <c r="B6031" s="58" t="s">
        <v>6357</v>
      </c>
    </row>
    <row r="6032" spans="1:2" x14ac:dyDescent="0.25">
      <c r="A6032" s="57">
        <v>31361502</v>
      </c>
      <c r="B6032" s="58" t="s">
        <v>11759</v>
      </c>
    </row>
    <row r="6033" spans="1:2" x14ac:dyDescent="0.25">
      <c r="A6033" s="57">
        <v>31361503</v>
      </c>
      <c r="B6033" s="58" t="s">
        <v>10955</v>
      </c>
    </row>
    <row r="6034" spans="1:2" x14ac:dyDescent="0.25">
      <c r="A6034" s="57">
        <v>31361504</v>
      </c>
      <c r="B6034" s="58" t="s">
        <v>5319</v>
      </c>
    </row>
    <row r="6035" spans="1:2" x14ac:dyDescent="0.25">
      <c r="A6035" s="57">
        <v>31361505</v>
      </c>
      <c r="B6035" s="58" t="s">
        <v>10258</v>
      </c>
    </row>
    <row r="6036" spans="1:2" x14ac:dyDescent="0.25">
      <c r="A6036" s="57">
        <v>31361506</v>
      </c>
      <c r="B6036" s="58" t="s">
        <v>10813</v>
      </c>
    </row>
    <row r="6037" spans="1:2" x14ac:dyDescent="0.25">
      <c r="A6037" s="57">
        <v>31361509</v>
      </c>
      <c r="B6037" s="58" t="s">
        <v>18724</v>
      </c>
    </row>
    <row r="6038" spans="1:2" x14ac:dyDescent="0.25">
      <c r="A6038" s="57">
        <v>31361510</v>
      </c>
      <c r="B6038" s="58" t="s">
        <v>6234</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14538</v>
      </c>
    </row>
    <row r="6044" spans="1:2" x14ac:dyDescent="0.25">
      <c r="A6044" s="57">
        <v>31361603</v>
      </c>
      <c r="B6044" s="58" t="s">
        <v>9467</v>
      </c>
    </row>
    <row r="6045" spans="1:2" x14ac:dyDescent="0.25">
      <c r="A6045" s="57">
        <v>31361604</v>
      </c>
      <c r="B6045" s="58" t="s">
        <v>6626</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11877</v>
      </c>
    </row>
    <row r="6066" spans="1:2" x14ac:dyDescent="0.25">
      <c r="A6066" s="57">
        <v>31371003</v>
      </c>
      <c r="B6066" s="58" t="s">
        <v>9171</v>
      </c>
    </row>
    <row r="6067" spans="1:2" x14ac:dyDescent="0.25">
      <c r="A6067" s="57">
        <v>31371101</v>
      </c>
      <c r="B6067" s="58" t="s">
        <v>7213</v>
      </c>
    </row>
    <row r="6068" spans="1:2" x14ac:dyDescent="0.25">
      <c r="A6068" s="57">
        <v>31371102</v>
      </c>
      <c r="B6068" s="58" t="s">
        <v>5902</v>
      </c>
    </row>
    <row r="6069" spans="1:2" x14ac:dyDescent="0.25">
      <c r="A6069" s="57">
        <v>31371103</v>
      </c>
      <c r="B6069" s="58" t="s">
        <v>9978</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13015</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10862</v>
      </c>
    </row>
    <row r="6087" spans="1:2" x14ac:dyDescent="0.25">
      <c r="A6087" s="57">
        <v>31381002</v>
      </c>
      <c r="B6087" s="58" t="s">
        <v>1457</v>
      </c>
    </row>
    <row r="6088" spans="1:2" x14ac:dyDescent="0.25">
      <c r="A6088" s="57">
        <v>31381003</v>
      </c>
      <c r="B6088" s="58" t="s">
        <v>18733</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9759</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5895</v>
      </c>
    </row>
    <row r="6104" spans="1:2" x14ac:dyDescent="0.25">
      <c r="A6104" s="57">
        <v>32101516</v>
      </c>
      <c r="B6104" s="58" t="s">
        <v>6353</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6178</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14603</v>
      </c>
    </row>
    <row r="6115" spans="1:2" x14ac:dyDescent="0.25">
      <c r="A6115" s="57">
        <v>32101527</v>
      </c>
      <c r="B6115" s="58" t="s">
        <v>6310</v>
      </c>
    </row>
    <row r="6116" spans="1:2" x14ac:dyDescent="0.25">
      <c r="A6116" s="57">
        <v>32101528</v>
      </c>
      <c r="B6116" s="58" t="s">
        <v>16665</v>
      </c>
    </row>
    <row r="6117" spans="1:2" x14ac:dyDescent="0.25">
      <c r="A6117" s="57">
        <v>32101601</v>
      </c>
      <c r="B6117" s="58" t="s">
        <v>8119</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11084</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12312</v>
      </c>
    </row>
    <row r="6134" spans="1:2" x14ac:dyDescent="0.25">
      <c r="A6134" s="57">
        <v>32101619</v>
      </c>
      <c r="B6134" s="58" t="s">
        <v>17452</v>
      </c>
    </row>
    <row r="6135" spans="1:2" x14ac:dyDescent="0.25">
      <c r="A6135" s="57">
        <v>32101620</v>
      </c>
      <c r="B6135" s="58" t="s">
        <v>6231</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12904</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18725</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17968</v>
      </c>
    </row>
    <row r="6148" spans="1:2" x14ac:dyDescent="0.25">
      <c r="A6148" s="57">
        <v>32101633</v>
      </c>
      <c r="B6148" s="58" t="s">
        <v>17848</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14391</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6301</v>
      </c>
    </row>
    <row r="6166" spans="1:2" x14ac:dyDescent="0.25">
      <c r="A6166" s="57">
        <v>32111602</v>
      </c>
      <c r="B6166" s="58" t="s">
        <v>14240</v>
      </c>
    </row>
    <row r="6167" spans="1:2" x14ac:dyDescent="0.25">
      <c r="A6167" s="57">
        <v>32111603</v>
      </c>
      <c r="B6167" s="58" t="s">
        <v>9730</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13398</v>
      </c>
    </row>
    <row r="6183" spans="1:2" x14ac:dyDescent="0.25">
      <c r="A6183" s="57">
        <v>32121504</v>
      </c>
      <c r="B6183" s="58" t="s">
        <v>13069</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8181</v>
      </c>
    </row>
    <row r="6188" spans="1:2" x14ac:dyDescent="0.25">
      <c r="A6188" s="57">
        <v>32121701</v>
      </c>
      <c r="B6188" s="58" t="s">
        <v>4817</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14152</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6242</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17238</v>
      </c>
    </row>
    <row r="6225" spans="1:2" x14ac:dyDescent="0.25">
      <c r="A6225" s="57">
        <v>32141105</v>
      </c>
      <c r="B6225" s="58" t="s">
        <v>16738</v>
      </c>
    </row>
    <row r="6226" spans="1:2" x14ac:dyDescent="0.25">
      <c r="A6226" s="57">
        <v>32141106</v>
      </c>
      <c r="B6226" s="58" t="s">
        <v>9175</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5823</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18721</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17309</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13518</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17676</v>
      </c>
    </row>
    <row r="6267" spans="1:2" x14ac:dyDescent="0.25">
      <c r="A6267" s="57">
        <v>39111603</v>
      </c>
      <c r="B6267" s="58" t="s">
        <v>13687</v>
      </c>
    </row>
    <row r="6268" spans="1:2" x14ac:dyDescent="0.25">
      <c r="A6268" s="57">
        <v>39111605</v>
      </c>
      <c r="B6268" s="58" t="s">
        <v>18792</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13216</v>
      </c>
    </row>
    <row r="6275" spans="1:2" x14ac:dyDescent="0.25">
      <c r="A6275" s="57">
        <v>39111705</v>
      </c>
      <c r="B6275" s="58" t="s">
        <v>17782</v>
      </c>
    </row>
    <row r="6276" spans="1:2" x14ac:dyDescent="0.25">
      <c r="A6276" s="57">
        <v>39111706</v>
      </c>
      <c r="B6276" s="58" t="s">
        <v>5986</v>
      </c>
    </row>
    <row r="6277" spans="1:2" x14ac:dyDescent="0.25">
      <c r="A6277" s="57">
        <v>39111801</v>
      </c>
      <c r="B6277" s="58" t="s">
        <v>13164</v>
      </c>
    </row>
    <row r="6278" spans="1:2" x14ac:dyDescent="0.25">
      <c r="A6278" s="57">
        <v>39111802</v>
      </c>
      <c r="B6278" s="58" t="s">
        <v>15065</v>
      </c>
    </row>
    <row r="6279" spans="1:2" x14ac:dyDescent="0.25">
      <c r="A6279" s="57">
        <v>39111803</v>
      </c>
      <c r="B6279" s="58" t="s">
        <v>13892</v>
      </c>
    </row>
    <row r="6280" spans="1:2" x14ac:dyDescent="0.25">
      <c r="A6280" s="57">
        <v>39111804</v>
      </c>
      <c r="B6280" s="58" t="s">
        <v>17725</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14216</v>
      </c>
    </row>
    <row r="6291" spans="1:2" x14ac:dyDescent="0.25">
      <c r="A6291" s="57">
        <v>39112002</v>
      </c>
      <c r="B6291" s="58" t="s">
        <v>9410</v>
      </c>
    </row>
    <row r="6292" spans="1:2" x14ac:dyDescent="0.25">
      <c r="A6292" s="57">
        <v>39112003</v>
      </c>
      <c r="B6292" s="58" t="s">
        <v>11685</v>
      </c>
    </row>
    <row r="6293" spans="1:2" x14ac:dyDescent="0.25">
      <c r="A6293" s="57">
        <v>39121001</v>
      </c>
      <c r="B6293" s="58" t="s">
        <v>5156</v>
      </c>
    </row>
    <row r="6294" spans="1:2" x14ac:dyDescent="0.25">
      <c r="A6294" s="57">
        <v>39121002</v>
      </c>
      <c r="B6294" s="58" t="s">
        <v>16903</v>
      </c>
    </row>
    <row r="6295" spans="1:2" x14ac:dyDescent="0.25">
      <c r="A6295" s="57">
        <v>39121003</v>
      </c>
      <c r="B6295" s="58" t="s">
        <v>14507</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10986</v>
      </c>
    </row>
    <row r="6309" spans="1:2" x14ac:dyDescent="0.25">
      <c r="A6309" s="57">
        <v>39121018</v>
      </c>
      <c r="B6309" s="58" t="s">
        <v>8860</v>
      </c>
    </row>
    <row r="6310" spans="1:2" x14ac:dyDescent="0.25">
      <c r="A6310" s="57">
        <v>39121019</v>
      </c>
      <c r="B6310" s="58" t="s">
        <v>11928</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6214</v>
      </c>
    </row>
    <row r="6315" spans="1:2" x14ac:dyDescent="0.25">
      <c r="A6315" s="57">
        <v>39121104</v>
      </c>
      <c r="B6315" s="58" t="s">
        <v>5829</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12237</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11723</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7310</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14731</v>
      </c>
    </row>
    <row r="6337" spans="1:2" x14ac:dyDescent="0.25">
      <c r="A6337" s="57">
        <v>39121310</v>
      </c>
      <c r="B6337" s="58" t="s">
        <v>17002</v>
      </c>
    </row>
    <row r="6338" spans="1:2" x14ac:dyDescent="0.25">
      <c r="A6338" s="57">
        <v>39121311</v>
      </c>
      <c r="B6338" s="58" t="s">
        <v>12267</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8484</v>
      </c>
    </row>
    <row r="6343" spans="1:2" x14ac:dyDescent="0.25">
      <c r="A6343" s="57">
        <v>39121404</v>
      </c>
      <c r="B6343" s="58" t="s">
        <v>11753</v>
      </c>
    </row>
    <row r="6344" spans="1:2" x14ac:dyDescent="0.25">
      <c r="A6344" s="57">
        <v>39121405</v>
      </c>
      <c r="B6344" s="58" t="s">
        <v>17767</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5903</v>
      </c>
    </row>
    <row r="6356" spans="1:2" x14ac:dyDescent="0.25">
      <c r="A6356" s="57">
        <v>39121419</v>
      </c>
      <c r="B6356" s="58" t="s">
        <v>11772</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17480</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14025</v>
      </c>
    </row>
    <row r="6370" spans="1:2" x14ac:dyDescent="0.25">
      <c r="A6370" s="57">
        <v>39121433</v>
      </c>
      <c r="B6370" s="58" t="s">
        <v>12438</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17456</v>
      </c>
    </row>
    <row r="6378" spans="1:2" x14ac:dyDescent="0.25">
      <c r="A6378" s="57">
        <v>39121504</v>
      </c>
      <c r="B6378" s="58" t="s">
        <v>15478</v>
      </c>
    </row>
    <row r="6379" spans="1:2" x14ac:dyDescent="0.25">
      <c r="A6379" s="57">
        <v>39121505</v>
      </c>
      <c r="B6379" s="58" t="s">
        <v>17515</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11082</v>
      </c>
    </row>
    <row r="6390" spans="1:2" x14ac:dyDescent="0.25">
      <c r="A6390" s="57">
        <v>39121516</v>
      </c>
      <c r="B6390" s="58" t="s">
        <v>13402</v>
      </c>
    </row>
    <row r="6391" spans="1:2" x14ac:dyDescent="0.25">
      <c r="A6391" s="57">
        <v>39121517</v>
      </c>
      <c r="B6391" s="58" t="s">
        <v>9217</v>
      </c>
    </row>
    <row r="6392" spans="1:2" x14ac:dyDescent="0.25">
      <c r="A6392" s="57">
        <v>39121518</v>
      </c>
      <c r="B6392" s="58" t="s">
        <v>2948</v>
      </c>
    </row>
    <row r="6393" spans="1:2" x14ac:dyDescent="0.25">
      <c r="A6393" s="57">
        <v>39121519</v>
      </c>
      <c r="B6393" s="58" t="s">
        <v>10693</v>
      </c>
    </row>
    <row r="6394" spans="1:2" x14ac:dyDescent="0.25">
      <c r="A6394" s="57">
        <v>39121520</v>
      </c>
      <c r="B6394" s="58" t="s">
        <v>15536</v>
      </c>
    </row>
    <row r="6395" spans="1:2" x14ac:dyDescent="0.25">
      <c r="A6395" s="57">
        <v>39121521</v>
      </c>
      <c r="B6395" s="58" t="s">
        <v>9516</v>
      </c>
    </row>
    <row r="6396" spans="1:2" x14ac:dyDescent="0.25">
      <c r="A6396" s="57">
        <v>39121522</v>
      </c>
      <c r="B6396" s="58" t="s">
        <v>13988</v>
      </c>
    </row>
    <row r="6397" spans="1:2" x14ac:dyDescent="0.25">
      <c r="A6397" s="57">
        <v>39121523</v>
      </c>
      <c r="B6397" s="58" t="s">
        <v>11051</v>
      </c>
    </row>
    <row r="6398" spans="1:2" x14ac:dyDescent="0.25">
      <c r="A6398" s="57">
        <v>39121524</v>
      </c>
      <c r="B6398" s="58" t="s">
        <v>18740</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12073</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11548</v>
      </c>
    </row>
    <row r="6413" spans="1:2" x14ac:dyDescent="0.25">
      <c r="A6413" s="57">
        <v>39121541</v>
      </c>
      <c r="B6413" s="58" t="s">
        <v>15685</v>
      </c>
    </row>
    <row r="6414" spans="1:2" x14ac:dyDescent="0.25">
      <c r="A6414" s="57">
        <v>39121542</v>
      </c>
      <c r="B6414" s="58" t="s">
        <v>12945</v>
      </c>
    </row>
    <row r="6415" spans="1:2" x14ac:dyDescent="0.25">
      <c r="A6415" s="57">
        <v>39121543</v>
      </c>
      <c r="B6415" s="58" t="s">
        <v>16182</v>
      </c>
    </row>
    <row r="6416" spans="1:2" x14ac:dyDescent="0.25">
      <c r="A6416" s="57">
        <v>39121544</v>
      </c>
      <c r="B6416" s="58" t="s">
        <v>14585</v>
      </c>
    </row>
    <row r="6417" spans="1:2" x14ac:dyDescent="0.25">
      <c r="A6417" s="57">
        <v>39121545</v>
      </c>
      <c r="B6417" s="58" t="s">
        <v>2829</v>
      </c>
    </row>
    <row r="6418" spans="1:2" x14ac:dyDescent="0.25">
      <c r="A6418" s="57">
        <v>39121546</v>
      </c>
      <c r="B6418" s="58" t="s">
        <v>9934</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12470</v>
      </c>
    </row>
    <row r="6428" spans="1:2" x14ac:dyDescent="0.25">
      <c r="A6428" s="57">
        <v>39121605</v>
      </c>
      <c r="B6428" s="58" t="s">
        <v>11946</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17369</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8606</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13274</v>
      </c>
    </row>
    <row r="6454" spans="1:2" x14ac:dyDescent="0.25">
      <c r="A6454" s="57">
        <v>39121712</v>
      </c>
      <c r="B6454" s="58" t="s">
        <v>12765</v>
      </c>
    </row>
    <row r="6455" spans="1:2" x14ac:dyDescent="0.25">
      <c r="A6455" s="57">
        <v>39121713</v>
      </c>
      <c r="B6455" s="58" t="s">
        <v>12766</v>
      </c>
    </row>
    <row r="6456" spans="1:2" x14ac:dyDescent="0.25">
      <c r="A6456" s="57">
        <v>39121714</v>
      </c>
      <c r="B6456" s="58" t="s">
        <v>17267</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17700</v>
      </c>
    </row>
    <row r="6468" spans="1:2" x14ac:dyDescent="0.25">
      <c r="A6468" s="57">
        <v>40101505</v>
      </c>
      <c r="B6468" s="58" t="s">
        <v>11129</v>
      </c>
    </row>
    <row r="6469" spans="1:2" x14ac:dyDescent="0.25">
      <c r="A6469" s="57">
        <v>40101506</v>
      </c>
      <c r="B6469" s="58" t="s">
        <v>9376</v>
      </c>
    </row>
    <row r="6470" spans="1:2" x14ac:dyDescent="0.25">
      <c r="A6470" s="57">
        <v>40101601</v>
      </c>
      <c r="B6470" s="58" t="s">
        <v>13153</v>
      </c>
    </row>
    <row r="6471" spans="1:2" x14ac:dyDescent="0.25">
      <c r="A6471" s="57">
        <v>40101602</v>
      </c>
      <c r="B6471" s="58" t="s">
        <v>4278</v>
      </c>
    </row>
    <row r="6472" spans="1:2" x14ac:dyDescent="0.25">
      <c r="A6472" s="57">
        <v>40101603</v>
      </c>
      <c r="B6472" s="58" t="s">
        <v>12378</v>
      </c>
    </row>
    <row r="6473" spans="1:2" x14ac:dyDescent="0.25">
      <c r="A6473" s="57">
        <v>40101604</v>
      </c>
      <c r="B6473" s="58" t="s">
        <v>5884</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6012</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13815</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13437</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13227</v>
      </c>
    </row>
    <row r="6504" spans="1:2" x14ac:dyDescent="0.25">
      <c r="A6504" s="57">
        <v>40101824</v>
      </c>
      <c r="B6504" s="58" t="s">
        <v>17118</v>
      </c>
    </row>
    <row r="6505" spans="1:2" x14ac:dyDescent="0.25">
      <c r="A6505" s="57">
        <v>40101825</v>
      </c>
      <c r="B6505" s="58" t="s">
        <v>4188</v>
      </c>
    </row>
    <row r="6506" spans="1:2" x14ac:dyDescent="0.25">
      <c r="A6506" s="57">
        <v>40101826</v>
      </c>
      <c r="B6506" s="58" t="s">
        <v>14040</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11624</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13980</v>
      </c>
    </row>
    <row r="6522" spans="1:2" x14ac:dyDescent="0.25">
      <c r="A6522" s="57">
        <v>40102005</v>
      </c>
      <c r="B6522" s="58" t="s">
        <v>1324</v>
      </c>
    </row>
    <row r="6523" spans="1:2" x14ac:dyDescent="0.25">
      <c r="A6523" s="57">
        <v>40141602</v>
      </c>
      <c r="B6523" s="58" t="s">
        <v>12488</v>
      </c>
    </row>
    <row r="6524" spans="1:2" x14ac:dyDescent="0.25">
      <c r="A6524" s="57">
        <v>40141603</v>
      </c>
      <c r="B6524" s="58" t="s">
        <v>6762</v>
      </c>
    </row>
    <row r="6525" spans="1:2" x14ac:dyDescent="0.25">
      <c r="A6525" s="57">
        <v>40141604</v>
      </c>
      <c r="B6525" s="58" t="s">
        <v>12555</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17654</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5871</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18771</v>
      </c>
    </row>
    <row r="6559" spans="1:2" x14ac:dyDescent="0.25">
      <c r="A6559" s="57">
        <v>40141701</v>
      </c>
      <c r="B6559" s="58" t="s">
        <v>10854</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13961</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10514</v>
      </c>
    </row>
    <row r="6569" spans="1:2" x14ac:dyDescent="0.25">
      <c r="A6569" s="57">
        <v>40141727</v>
      </c>
      <c r="B6569" s="58" t="s">
        <v>6856</v>
      </c>
    </row>
    <row r="6570" spans="1:2" x14ac:dyDescent="0.25">
      <c r="A6570" s="57">
        <v>40141731</v>
      </c>
      <c r="B6570" s="58" t="s">
        <v>17221</v>
      </c>
    </row>
    <row r="6571" spans="1:2" x14ac:dyDescent="0.25">
      <c r="A6571" s="57">
        <v>40141732</v>
      </c>
      <c r="B6571" s="58" t="s">
        <v>12459</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14554</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10073</v>
      </c>
    </row>
    <row r="6588" spans="1:2" x14ac:dyDescent="0.25">
      <c r="A6588" s="57">
        <v>40141904</v>
      </c>
      <c r="B6588" s="58" t="s">
        <v>13114</v>
      </c>
    </row>
    <row r="6589" spans="1:2" x14ac:dyDescent="0.25">
      <c r="A6589" s="57">
        <v>40141905</v>
      </c>
      <c r="B6589" s="58" t="s">
        <v>4851</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12830</v>
      </c>
    </row>
    <row r="6594" spans="1:2" x14ac:dyDescent="0.25">
      <c r="A6594" s="57">
        <v>40141910</v>
      </c>
      <c r="B6594" s="58" t="s">
        <v>17292</v>
      </c>
    </row>
    <row r="6595" spans="1:2" x14ac:dyDescent="0.25">
      <c r="A6595" s="57">
        <v>40141911</v>
      </c>
      <c r="B6595" s="58" t="s">
        <v>17115</v>
      </c>
    </row>
    <row r="6596" spans="1:2" x14ac:dyDescent="0.25">
      <c r="A6596" s="57">
        <v>40141912</v>
      </c>
      <c r="B6596" s="58" t="s">
        <v>2261</v>
      </c>
    </row>
    <row r="6597" spans="1:2" x14ac:dyDescent="0.25">
      <c r="A6597" s="57">
        <v>40141913</v>
      </c>
      <c r="B6597" s="58" t="s">
        <v>12477</v>
      </c>
    </row>
    <row r="6598" spans="1:2" x14ac:dyDescent="0.25">
      <c r="A6598" s="57">
        <v>40141914</v>
      </c>
      <c r="B6598" s="58" t="s">
        <v>6215</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14108</v>
      </c>
    </row>
    <row r="6604" spans="1:2" x14ac:dyDescent="0.25">
      <c r="A6604" s="57">
        <v>40141920</v>
      </c>
      <c r="B6604" s="58" t="s">
        <v>17116</v>
      </c>
    </row>
    <row r="6605" spans="1:2" x14ac:dyDescent="0.25">
      <c r="A6605" s="57">
        <v>40141921</v>
      </c>
      <c r="B6605" s="58" t="s">
        <v>12762</v>
      </c>
    </row>
    <row r="6606" spans="1:2" x14ac:dyDescent="0.25">
      <c r="A6606" s="57">
        <v>40141922</v>
      </c>
      <c r="B6606" s="58" t="s">
        <v>3072</v>
      </c>
    </row>
    <row r="6607" spans="1:2" x14ac:dyDescent="0.25">
      <c r="A6607" s="57">
        <v>40142001</v>
      </c>
      <c r="B6607" s="58" t="s">
        <v>8759</v>
      </c>
    </row>
    <row r="6608" spans="1:2" x14ac:dyDescent="0.25">
      <c r="A6608" s="57">
        <v>40142002</v>
      </c>
      <c r="B6608" s="58" t="s">
        <v>12232</v>
      </c>
    </row>
    <row r="6609" spans="1:2" x14ac:dyDescent="0.25">
      <c r="A6609" s="57">
        <v>40142003</v>
      </c>
      <c r="B6609" s="58" t="s">
        <v>8364</v>
      </c>
    </row>
    <row r="6610" spans="1:2" x14ac:dyDescent="0.25">
      <c r="A6610" s="57">
        <v>40142004</v>
      </c>
      <c r="B6610" s="58" t="s">
        <v>13803</v>
      </c>
    </row>
    <row r="6611" spans="1:2" x14ac:dyDescent="0.25">
      <c r="A6611" s="57">
        <v>40142005</v>
      </c>
      <c r="B6611" s="58" t="s">
        <v>3246</v>
      </c>
    </row>
    <row r="6612" spans="1:2" x14ac:dyDescent="0.25">
      <c r="A6612" s="57">
        <v>40142006</v>
      </c>
      <c r="B6612" s="58" t="s">
        <v>10540</v>
      </c>
    </row>
    <row r="6613" spans="1:2" x14ac:dyDescent="0.25">
      <c r="A6613" s="57">
        <v>40142007</v>
      </c>
      <c r="B6613" s="58" t="s">
        <v>9063</v>
      </c>
    </row>
    <row r="6614" spans="1:2" x14ac:dyDescent="0.25">
      <c r="A6614" s="57">
        <v>40142008</v>
      </c>
      <c r="B6614" s="58" t="s">
        <v>13072</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17328</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18701</v>
      </c>
    </row>
    <row r="6626" spans="1:2" x14ac:dyDescent="0.25">
      <c r="A6626" s="57">
        <v>40142110</v>
      </c>
      <c r="B6626" s="58" t="s">
        <v>11483</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13281</v>
      </c>
    </row>
    <row r="6631" spans="1:2" x14ac:dyDescent="0.25">
      <c r="A6631" s="57">
        <v>40142115</v>
      </c>
      <c r="B6631" s="58" t="s">
        <v>8948</v>
      </c>
    </row>
    <row r="6632" spans="1:2" x14ac:dyDescent="0.25">
      <c r="A6632" s="57">
        <v>40142116</v>
      </c>
      <c r="B6632" s="58" t="s">
        <v>10016</v>
      </c>
    </row>
    <row r="6633" spans="1:2" x14ac:dyDescent="0.25">
      <c r="A6633" s="57">
        <v>40142117</v>
      </c>
      <c r="B6633" s="58" t="s">
        <v>17329</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5867</v>
      </c>
    </row>
    <row r="6642" spans="1:2" x14ac:dyDescent="0.25">
      <c r="A6642" s="57">
        <v>40142301</v>
      </c>
      <c r="B6642" s="58" t="s">
        <v>2860</v>
      </c>
    </row>
    <row r="6643" spans="1:2" x14ac:dyDescent="0.25">
      <c r="A6643" s="57">
        <v>40142302</v>
      </c>
      <c r="B6643" s="58" t="s">
        <v>15081</v>
      </c>
    </row>
    <row r="6644" spans="1:2" x14ac:dyDescent="0.25">
      <c r="A6644" s="57">
        <v>40142303</v>
      </c>
      <c r="B6644" s="58" t="s">
        <v>12622</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14085</v>
      </c>
    </row>
    <row r="6650" spans="1:2" x14ac:dyDescent="0.25">
      <c r="A6650" s="57">
        <v>40142309</v>
      </c>
      <c r="B6650" s="58" t="s">
        <v>8723</v>
      </c>
    </row>
    <row r="6651" spans="1:2" x14ac:dyDescent="0.25">
      <c r="A6651" s="57">
        <v>40142310</v>
      </c>
      <c r="B6651" s="58" t="s">
        <v>9828</v>
      </c>
    </row>
    <row r="6652" spans="1:2" x14ac:dyDescent="0.25">
      <c r="A6652" s="57">
        <v>40142311</v>
      </c>
      <c r="B6652" s="58" t="s">
        <v>9275</v>
      </c>
    </row>
    <row r="6653" spans="1:2" x14ac:dyDescent="0.25">
      <c r="A6653" s="57">
        <v>40142312</v>
      </c>
      <c r="B6653" s="58" t="s">
        <v>13298</v>
      </c>
    </row>
    <row r="6654" spans="1:2" x14ac:dyDescent="0.25">
      <c r="A6654" s="57">
        <v>40142313</v>
      </c>
      <c r="B6654" s="58" t="s">
        <v>6277</v>
      </c>
    </row>
    <row r="6655" spans="1:2" x14ac:dyDescent="0.25">
      <c r="A6655" s="57">
        <v>40142314</v>
      </c>
      <c r="B6655" s="58" t="s">
        <v>1504</v>
      </c>
    </row>
    <row r="6656" spans="1:2" x14ac:dyDescent="0.25">
      <c r="A6656" s="57">
        <v>40142315</v>
      </c>
      <c r="B6656" s="58" t="s">
        <v>12559</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9849</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5892</v>
      </c>
    </row>
    <row r="6669" spans="1:2" x14ac:dyDescent="0.25">
      <c r="A6669" s="57">
        <v>40142401</v>
      </c>
      <c r="B6669" s="58" t="s">
        <v>10808</v>
      </c>
    </row>
    <row r="6670" spans="1:2" x14ac:dyDescent="0.25">
      <c r="A6670" s="57">
        <v>40142402</v>
      </c>
      <c r="B6670" s="58" t="s">
        <v>12207</v>
      </c>
    </row>
    <row r="6671" spans="1:2" x14ac:dyDescent="0.25">
      <c r="A6671" s="57">
        <v>40142403</v>
      </c>
      <c r="B6671" s="58" t="s">
        <v>8256</v>
      </c>
    </row>
    <row r="6672" spans="1:2" x14ac:dyDescent="0.25">
      <c r="A6672" s="57">
        <v>40142404</v>
      </c>
      <c r="B6672" s="58" t="s">
        <v>9781</v>
      </c>
    </row>
    <row r="6673" spans="1:2" x14ac:dyDescent="0.25">
      <c r="A6673" s="57">
        <v>40142405</v>
      </c>
      <c r="B6673" s="58" t="s">
        <v>5652</v>
      </c>
    </row>
    <row r="6674" spans="1:2" x14ac:dyDescent="0.25">
      <c r="A6674" s="57">
        <v>40142406</v>
      </c>
      <c r="B6674" s="58" t="s">
        <v>11415</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17377</v>
      </c>
    </row>
    <row r="6683" spans="1:2" x14ac:dyDescent="0.25">
      <c r="A6683" s="57">
        <v>40142501</v>
      </c>
      <c r="B6683" s="58" t="s">
        <v>5737</v>
      </c>
    </row>
    <row r="6684" spans="1:2" x14ac:dyDescent="0.25">
      <c r="A6684" s="57">
        <v>40142502</v>
      </c>
      <c r="B6684" s="58" t="s">
        <v>12724</v>
      </c>
    </row>
    <row r="6685" spans="1:2" x14ac:dyDescent="0.25">
      <c r="A6685" s="57">
        <v>40142503</v>
      </c>
      <c r="B6685" s="58" t="s">
        <v>6653</v>
      </c>
    </row>
    <row r="6686" spans="1:2" x14ac:dyDescent="0.25">
      <c r="A6686" s="57">
        <v>40142504</v>
      </c>
      <c r="B6686" s="58" t="s">
        <v>12439</v>
      </c>
    </row>
    <row r="6687" spans="1:2" x14ac:dyDescent="0.25">
      <c r="A6687" s="57">
        <v>40142604</v>
      </c>
      <c r="B6687" s="58" t="s">
        <v>5060</v>
      </c>
    </row>
    <row r="6688" spans="1:2" x14ac:dyDescent="0.25">
      <c r="A6688" s="57">
        <v>40142605</v>
      </c>
      <c r="B6688" s="58" t="s">
        <v>12855</v>
      </c>
    </row>
    <row r="6689" spans="1:2" x14ac:dyDescent="0.25">
      <c r="A6689" s="57">
        <v>40142606</v>
      </c>
      <c r="B6689" s="58" t="s">
        <v>8329</v>
      </c>
    </row>
    <row r="6690" spans="1:2" x14ac:dyDescent="0.25">
      <c r="A6690" s="57">
        <v>40142607</v>
      </c>
      <c r="B6690" s="58" t="s">
        <v>13611</v>
      </c>
    </row>
    <row r="6691" spans="1:2" x14ac:dyDescent="0.25">
      <c r="A6691" s="57">
        <v>40142608</v>
      </c>
      <c r="B6691" s="58" t="s">
        <v>10039</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12311</v>
      </c>
    </row>
    <row r="6697" spans="1:2" x14ac:dyDescent="0.25">
      <c r="A6697" s="57">
        <v>40142614</v>
      </c>
      <c r="B6697" s="58" t="s">
        <v>3935</v>
      </c>
    </row>
    <row r="6698" spans="1:2" x14ac:dyDescent="0.25">
      <c r="A6698" s="57">
        <v>40142615</v>
      </c>
      <c r="B6698" s="58" t="s">
        <v>10932</v>
      </c>
    </row>
    <row r="6699" spans="1:2" x14ac:dyDescent="0.25">
      <c r="A6699" s="57">
        <v>40151501</v>
      </c>
      <c r="B6699" s="58" t="s">
        <v>12834</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6006</v>
      </c>
    </row>
    <row r="6711" spans="1:2" x14ac:dyDescent="0.25">
      <c r="A6711" s="57">
        <v>40151513</v>
      </c>
      <c r="B6711" s="58" t="s">
        <v>9497</v>
      </c>
    </row>
    <row r="6712" spans="1:2" x14ac:dyDescent="0.25">
      <c r="A6712" s="57">
        <v>40151514</v>
      </c>
      <c r="B6712" s="58" t="s">
        <v>18467</v>
      </c>
    </row>
    <row r="6713" spans="1:2" x14ac:dyDescent="0.25">
      <c r="A6713" s="57">
        <v>40151515</v>
      </c>
      <c r="B6713" s="58" t="s">
        <v>12961</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11849</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12076</v>
      </c>
    </row>
    <row r="6724" spans="1:2" x14ac:dyDescent="0.25">
      <c r="A6724" s="57">
        <v>40151526</v>
      </c>
      <c r="B6724" s="58" t="s">
        <v>8363</v>
      </c>
    </row>
    <row r="6725" spans="1:2" x14ac:dyDescent="0.25">
      <c r="A6725" s="57">
        <v>40151527</v>
      </c>
      <c r="B6725" s="58" t="s">
        <v>3181</v>
      </c>
    </row>
    <row r="6726" spans="1:2" x14ac:dyDescent="0.25">
      <c r="A6726" s="57">
        <v>40151528</v>
      </c>
      <c r="B6726" s="58" t="s">
        <v>11819</v>
      </c>
    </row>
    <row r="6727" spans="1:2" x14ac:dyDescent="0.25">
      <c r="A6727" s="57">
        <v>40151529</v>
      </c>
      <c r="B6727" s="58" t="s">
        <v>6705</v>
      </c>
    </row>
    <row r="6728" spans="1:2" x14ac:dyDescent="0.25">
      <c r="A6728" s="57">
        <v>40151530</v>
      </c>
      <c r="B6728" s="58" t="s">
        <v>12782</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18647</v>
      </c>
    </row>
    <row r="6739" spans="1:2" x14ac:dyDescent="0.25">
      <c r="A6739" s="57">
        <v>40151552</v>
      </c>
      <c r="B6739" s="58" t="s">
        <v>12581</v>
      </c>
    </row>
    <row r="6740" spans="1:2" x14ac:dyDescent="0.25">
      <c r="A6740" s="57">
        <v>40151553</v>
      </c>
      <c r="B6740" s="58" t="s">
        <v>11830</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4687</v>
      </c>
    </row>
    <row r="6747" spans="1:2" x14ac:dyDescent="0.25">
      <c r="A6747" s="57">
        <v>40151560</v>
      </c>
      <c r="B6747" s="58" t="s">
        <v>15034</v>
      </c>
    </row>
    <row r="6748" spans="1:2" x14ac:dyDescent="0.25">
      <c r="A6748" s="57">
        <v>40151561</v>
      </c>
      <c r="B6748" s="58" t="s">
        <v>13809</v>
      </c>
    </row>
    <row r="6749" spans="1:2" x14ac:dyDescent="0.25">
      <c r="A6749" s="57">
        <v>40151562</v>
      </c>
      <c r="B6749" s="58" t="s">
        <v>6148</v>
      </c>
    </row>
    <row r="6750" spans="1:2" x14ac:dyDescent="0.25">
      <c r="A6750" s="57">
        <v>40151563</v>
      </c>
      <c r="B6750" s="58" t="s">
        <v>14474</v>
      </c>
    </row>
    <row r="6751" spans="1:2" x14ac:dyDescent="0.25">
      <c r="A6751" s="57">
        <v>40151564</v>
      </c>
      <c r="B6751" s="58" t="s">
        <v>4111</v>
      </c>
    </row>
    <row r="6752" spans="1:2" x14ac:dyDescent="0.25">
      <c r="A6752" s="57">
        <v>40151601</v>
      </c>
      <c r="B6752" s="58" t="s">
        <v>11422</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17573</v>
      </c>
    </row>
    <row r="6776" spans="1:2" x14ac:dyDescent="0.25">
      <c r="A6776" s="57">
        <v>40151719</v>
      </c>
      <c r="B6776" s="58" t="s">
        <v>12249</v>
      </c>
    </row>
    <row r="6777" spans="1:2" x14ac:dyDescent="0.25">
      <c r="A6777" s="57">
        <v>40151720</v>
      </c>
      <c r="B6777" s="58" t="s">
        <v>12317</v>
      </c>
    </row>
    <row r="6778" spans="1:2" x14ac:dyDescent="0.25">
      <c r="A6778" s="57">
        <v>40151721</v>
      </c>
      <c r="B6778" s="58" t="s">
        <v>9237</v>
      </c>
    </row>
    <row r="6779" spans="1:2" x14ac:dyDescent="0.25">
      <c r="A6779" s="57">
        <v>40151722</v>
      </c>
      <c r="B6779" s="58" t="s">
        <v>17637</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14549</v>
      </c>
    </row>
    <row r="6786" spans="1:2" x14ac:dyDescent="0.25">
      <c r="A6786" s="57">
        <v>40161501</v>
      </c>
      <c r="B6786" s="58" t="s">
        <v>13011</v>
      </c>
    </row>
    <row r="6787" spans="1:2" x14ac:dyDescent="0.25">
      <c r="A6787" s="57">
        <v>40161502</v>
      </c>
      <c r="B6787" s="58" t="s">
        <v>12357</v>
      </c>
    </row>
    <row r="6788" spans="1:2" x14ac:dyDescent="0.25">
      <c r="A6788" s="57">
        <v>40161503</v>
      </c>
      <c r="B6788" s="58" t="s">
        <v>14593</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6089</v>
      </c>
    </row>
    <row r="6798" spans="1:2" x14ac:dyDescent="0.25">
      <c r="A6798" s="57">
        <v>40161514</v>
      </c>
      <c r="B6798" s="58" t="s">
        <v>4049</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17830</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12024</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14163</v>
      </c>
    </row>
    <row r="6826" spans="1:2" x14ac:dyDescent="0.25">
      <c r="A6826" s="57">
        <v>41101505</v>
      </c>
      <c r="B6826" s="58" t="s">
        <v>6850</v>
      </c>
    </row>
    <row r="6827" spans="1:2" x14ac:dyDescent="0.25">
      <c r="A6827" s="57">
        <v>41101515</v>
      </c>
      <c r="B6827" s="58" t="s">
        <v>8626</v>
      </c>
    </row>
    <row r="6828" spans="1:2" x14ac:dyDescent="0.25">
      <c r="A6828" s="57">
        <v>41101516</v>
      </c>
      <c r="B6828" s="58" t="s">
        <v>13931</v>
      </c>
    </row>
    <row r="6829" spans="1:2" x14ac:dyDescent="0.25">
      <c r="A6829" s="57">
        <v>41101518</v>
      </c>
      <c r="B6829" s="58" t="s">
        <v>17980</v>
      </c>
    </row>
    <row r="6830" spans="1:2" x14ac:dyDescent="0.25">
      <c r="A6830" s="57">
        <v>41101701</v>
      </c>
      <c r="B6830" s="58" t="s">
        <v>13947</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14574</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14578</v>
      </c>
    </row>
    <row r="6846" spans="1:2" x14ac:dyDescent="0.25">
      <c r="A6846" s="57">
        <v>41101901</v>
      </c>
      <c r="B6846" s="58" t="s">
        <v>8045</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14500</v>
      </c>
    </row>
    <row r="6852" spans="1:2" x14ac:dyDescent="0.25">
      <c r="A6852" s="57">
        <v>41102404</v>
      </c>
      <c r="B6852" s="58" t="s">
        <v>9377</v>
      </c>
    </row>
    <row r="6853" spans="1:2" x14ac:dyDescent="0.25">
      <c r="A6853" s="57">
        <v>41102405</v>
      </c>
      <c r="B6853" s="58" t="s">
        <v>13267</v>
      </c>
    </row>
    <row r="6854" spans="1:2" x14ac:dyDescent="0.25">
      <c r="A6854" s="57">
        <v>41102406</v>
      </c>
      <c r="B6854" s="58" t="s">
        <v>5953</v>
      </c>
    </row>
    <row r="6855" spans="1:2" x14ac:dyDescent="0.25">
      <c r="A6855" s="57">
        <v>41102407</v>
      </c>
      <c r="B6855" s="58" t="s">
        <v>16788</v>
      </c>
    </row>
    <row r="6856" spans="1:2" x14ac:dyDescent="0.25">
      <c r="A6856" s="57">
        <v>41102410</v>
      </c>
      <c r="B6856" s="58" t="s">
        <v>17510</v>
      </c>
    </row>
    <row r="6857" spans="1:2" x14ac:dyDescent="0.25">
      <c r="A6857" s="57">
        <v>41102412</v>
      </c>
      <c r="B6857" s="58" t="s">
        <v>14065</v>
      </c>
    </row>
    <row r="6858" spans="1:2" x14ac:dyDescent="0.25">
      <c r="A6858" s="57">
        <v>41102421</v>
      </c>
      <c r="B6858" s="58" t="s">
        <v>17520</v>
      </c>
    </row>
    <row r="6859" spans="1:2" x14ac:dyDescent="0.25">
      <c r="A6859" s="57">
        <v>41102422</v>
      </c>
      <c r="B6859" s="58" t="s">
        <v>7796</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13168</v>
      </c>
    </row>
    <row r="6864" spans="1:2" x14ac:dyDescent="0.25">
      <c r="A6864" s="57">
        <v>41102501</v>
      </c>
      <c r="B6864" s="58" t="s">
        <v>11196</v>
      </c>
    </row>
    <row r="6865" spans="1:2" x14ac:dyDescent="0.25">
      <c r="A6865" s="57">
        <v>41102502</v>
      </c>
      <c r="B6865" s="58" t="s">
        <v>17295</v>
      </c>
    </row>
    <row r="6866" spans="1:2" x14ac:dyDescent="0.25">
      <c r="A6866" s="57">
        <v>41102503</v>
      </c>
      <c r="B6866" s="58" t="s">
        <v>16753</v>
      </c>
    </row>
    <row r="6867" spans="1:2" x14ac:dyDescent="0.25">
      <c r="A6867" s="57">
        <v>41102504</v>
      </c>
      <c r="B6867" s="58" t="s">
        <v>14692</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12220</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12986</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7516</v>
      </c>
    </row>
    <row r="6888" spans="1:2" x14ac:dyDescent="0.25">
      <c r="A6888" s="57">
        <v>41102704</v>
      </c>
      <c r="B6888" s="58" t="s">
        <v>14139</v>
      </c>
    </row>
    <row r="6889" spans="1:2" x14ac:dyDescent="0.25">
      <c r="A6889" s="57">
        <v>41102705</v>
      </c>
      <c r="B6889" s="58" t="s">
        <v>6947</v>
      </c>
    </row>
    <row r="6890" spans="1:2" x14ac:dyDescent="0.25">
      <c r="A6890" s="57">
        <v>41102706</v>
      </c>
      <c r="B6890" s="58" t="s">
        <v>12382</v>
      </c>
    </row>
    <row r="6891" spans="1:2" x14ac:dyDescent="0.25">
      <c r="A6891" s="57">
        <v>41102901</v>
      </c>
      <c r="B6891" s="58" t="s">
        <v>6701</v>
      </c>
    </row>
    <row r="6892" spans="1:2" x14ac:dyDescent="0.25">
      <c r="A6892" s="57">
        <v>41102902</v>
      </c>
      <c r="B6892" s="58" t="s">
        <v>6073</v>
      </c>
    </row>
    <row r="6893" spans="1:2" x14ac:dyDescent="0.25">
      <c r="A6893" s="57">
        <v>41102903</v>
      </c>
      <c r="B6893" s="58" t="s">
        <v>17544</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10014</v>
      </c>
    </row>
    <row r="6898" spans="1:2" x14ac:dyDescent="0.25">
      <c r="A6898" s="57">
        <v>41102911</v>
      </c>
      <c r="B6898" s="58" t="s">
        <v>9611</v>
      </c>
    </row>
    <row r="6899" spans="1:2" x14ac:dyDescent="0.25">
      <c r="A6899" s="57">
        <v>41102912</v>
      </c>
      <c r="B6899" s="58" t="s">
        <v>12803</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3295</v>
      </c>
    </row>
    <row r="6910" spans="1:2" x14ac:dyDescent="0.25">
      <c r="A6910" s="57">
        <v>41103001</v>
      </c>
      <c r="B6910" s="58" t="s">
        <v>4485</v>
      </c>
    </row>
    <row r="6911" spans="1:2" x14ac:dyDescent="0.25">
      <c r="A6911" s="57">
        <v>41103003</v>
      </c>
      <c r="B6911" s="58" t="s">
        <v>11334</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18758</v>
      </c>
    </row>
    <row r="6930" spans="1:2" x14ac:dyDescent="0.25">
      <c r="A6930" s="57">
        <v>41103025</v>
      </c>
      <c r="B6930" s="58" t="s">
        <v>5790</v>
      </c>
    </row>
    <row r="6931" spans="1:2" x14ac:dyDescent="0.25">
      <c r="A6931" s="57">
        <v>41103201</v>
      </c>
      <c r="B6931" s="58" t="s">
        <v>15704</v>
      </c>
    </row>
    <row r="6932" spans="1:2" x14ac:dyDescent="0.25">
      <c r="A6932" s="57">
        <v>41103202</v>
      </c>
      <c r="B6932" s="58" t="s">
        <v>6021</v>
      </c>
    </row>
    <row r="6933" spans="1:2" x14ac:dyDescent="0.25">
      <c r="A6933" s="57">
        <v>41103203</v>
      </c>
      <c r="B6933" s="58" t="s">
        <v>16839</v>
      </c>
    </row>
    <row r="6934" spans="1:2" x14ac:dyDescent="0.25">
      <c r="A6934" s="57">
        <v>41103205</v>
      </c>
      <c r="B6934" s="58" t="s">
        <v>6192</v>
      </c>
    </row>
    <row r="6935" spans="1:2" x14ac:dyDescent="0.25">
      <c r="A6935" s="57">
        <v>41103206</v>
      </c>
      <c r="B6935" s="58" t="s">
        <v>17147</v>
      </c>
    </row>
    <row r="6936" spans="1:2" x14ac:dyDescent="0.25">
      <c r="A6936" s="57">
        <v>41103207</v>
      </c>
      <c r="B6936" s="58" t="s">
        <v>12519</v>
      </c>
    </row>
    <row r="6937" spans="1:2" x14ac:dyDescent="0.25">
      <c r="A6937" s="57">
        <v>41103208</v>
      </c>
      <c r="B6937" s="58" t="s">
        <v>6251</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10310</v>
      </c>
    </row>
    <row r="6943" spans="1:2" x14ac:dyDescent="0.25">
      <c r="A6943" s="57">
        <v>41103305</v>
      </c>
      <c r="B6943" s="58" t="s">
        <v>3985</v>
      </c>
    </row>
    <row r="6944" spans="1:2" x14ac:dyDescent="0.25">
      <c r="A6944" s="57">
        <v>41103306</v>
      </c>
      <c r="B6944" s="58" t="s">
        <v>14148</v>
      </c>
    </row>
    <row r="6945" spans="1:2" x14ac:dyDescent="0.25">
      <c r="A6945" s="57">
        <v>41103307</v>
      </c>
      <c r="B6945" s="58" t="s">
        <v>11915</v>
      </c>
    </row>
    <row r="6946" spans="1:2" x14ac:dyDescent="0.25">
      <c r="A6946" s="57">
        <v>41103308</v>
      </c>
      <c r="B6946" s="58" t="s">
        <v>12027</v>
      </c>
    </row>
    <row r="6947" spans="1:2" x14ac:dyDescent="0.25">
      <c r="A6947" s="57">
        <v>41103309</v>
      </c>
      <c r="B6947" s="58" t="s">
        <v>15772</v>
      </c>
    </row>
    <row r="6948" spans="1:2" x14ac:dyDescent="0.25">
      <c r="A6948" s="57">
        <v>41103310</v>
      </c>
      <c r="B6948" s="58" t="s">
        <v>17779</v>
      </c>
    </row>
    <row r="6949" spans="1:2" x14ac:dyDescent="0.25">
      <c r="A6949" s="57">
        <v>41103311</v>
      </c>
      <c r="B6949" s="58" t="s">
        <v>451</v>
      </c>
    </row>
    <row r="6950" spans="1:2" x14ac:dyDescent="0.25">
      <c r="A6950" s="57">
        <v>41103312</v>
      </c>
      <c r="B6950" s="58" t="s">
        <v>4455</v>
      </c>
    </row>
    <row r="6951" spans="1:2" x14ac:dyDescent="0.25">
      <c r="A6951" s="57">
        <v>41103313</v>
      </c>
      <c r="B6951" s="58" t="s">
        <v>11799</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17283</v>
      </c>
    </row>
    <row r="6956" spans="1:2" x14ac:dyDescent="0.25">
      <c r="A6956" s="57">
        <v>41103318</v>
      </c>
      <c r="B6956" s="58" t="s">
        <v>17463</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18641</v>
      </c>
    </row>
    <row r="6966" spans="1:2" x14ac:dyDescent="0.25">
      <c r="A6966" s="57">
        <v>41103413</v>
      </c>
      <c r="B6966" s="58" t="s">
        <v>8790</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5899</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17274</v>
      </c>
    </row>
    <row r="6977" spans="1:2" x14ac:dyDescent="0.25">
      <c r="A6977" s="57">
        <v>41103511</v>
      </c>
      <c r="B6977" s="58" t="s">
        <v>17500</v>
      </c>
    </row>
    <row r="6978" spans="1:2" x14ac:dyDescent="0.25">
      <c r="A6978" s="57">
        <v>41103512</v>
      </c>
      <c r="B6978" s="58" t="s">
        <v>1805</v>
      </c>
    </row>
    <row r="6979" spans="1:2" x14ac:dyDescent="0.25">
      <c r="A6979" s="57">
        <v>41103513</v>
      </c>
      <c r="B6979" s="58" t="s">
        <v>6165</v>
      </c>
    </row>
    <row r="6980" spans="1:2" x14ac:dyDescent="0.25">
      <c r="A6980" s="57">
        <v>41103701</v>
      </c>
      <c r="B6980" s="58" t="s">
        <v>2669</v>
      </c>
    </row>
    <row r="6981" spans="1:2" x14ac:dyDescent="0.25">
      <c r="A6981" s="57">
        <v>41103702</v>
      </c>
      <c r="B6981" s="58" t="s">
        <v>11256</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12597</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12492</v>
      </c>
    </row>
    <row r="6991" spans="1:2" x14ac:dyDescent="0.25">
      <c r="A6991" s="57">
        <v>41103712</v>
      </c>
      <c r="B6991" s="58" t="s">
        <v>8052</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12792</v>
      </c>
    </row>
    <row r="7003" spans="1:2" x14ac:dyDescent="0.25">
      <c r="A7003" s="57">
        <v>41103809</v>
      </c>
      <c r="B7003" s="58" t="s">
        <v>16122</v>
      </c>
    </row>
    <row r="7004" spans="1:2" x14ac:dyDescent="0.25">
      <c r="A7004" s="57">
        <v>41103810</v>
      </c>
      <c r="B7004" s="58" t="s">
        <v>11250</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18654</v>
      </c>
    </row>
    <row r="7009" spans="1:2" x14ac:dyDescent="0.25">
      <c r="A7009" s="57">
        <v>41103815</v>
      </c>
      <c r="B7009" s="58" t="s">
        <v>18778</v>
      </c>
    </row>
    <row r="7010" spans="1:2" x14ac:dyDescent="0.25">
      <c r="A7010" s="57">
        <v>41103816</v>
      </c>
      <c r="B7010" s="58" t="s">
        <v>18268</v>
      </c>
    </row>
    <row r="7011" spans="1:2" x14ac:dyDescent="0.25">
      <c r="A7011" s="57">
        <v>41103901</v>
      </c>
      <c r="B7011" s="58" t="s">
        <v>12221</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10961</v>
      </c>
    </row>
    <row r="7017" spans="1:2" x14ac:dyDescent="0.25">
      <c r="A7017" s="57">
        <v>41103907</v>
      </c>
      <c r="B7017" s="58" t="s">
        <v>6398</v>
      </c>
    </row>
    <row r="7018" spans="1:2" x14ac:dyDescent="0.25">
      <c r="A7018" s="57">
        <v>41103908</v>
      </c>
      <c r="B7018" s="58" t="s">
        <v>10309</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10645</v>
      </c>
    </row>
    <row r="7025" spans="1:2" x14ac:dyDescent="0.25">
      <c r="A7025" s="57">
        <v>41104002</v>
      </c>
      <c r="B7025" s="58" t="s">
        <v>15273</v>
      </c>
    </row>
    <row r="7026" spans="1:2" x14ac:dyDescent="0.25">
      <c r="A7026" s="57">
        <v>41104003</v>
      </c>
      <c r="B7026" s="58" t="s">
        <v>6385</v>
      </c>
    </row>
    <row r="7027" spans="1:2" x14ac:dyDescent="0.25">
      <c r="A7027" s="57">
        <v>41104004</v>
      </c>
      <c r="B7027" s="58" t="s">
        <v>11482</v>
      </c>
    </row>
    <row r="7028" spans="1:2" x14ac:dyDescent="0.25">
      <c r="A7028" s="57">
        <v>41104005</v>
      </c>
      <c r="B7028" s="58" t="s">
        <v>4496</v>
      </c>
    </row>
    <row r="7029" spans="1:2" x14ac:dyDescent="0.25">
      <c r="A7029" s="57">
        <v>41104006</v>
      </c>
      <c r="B7029" s="58" t="s">
        <v>8739</v>
      </c>
    </row>
    <row r="7030" spans="1:2" x14ac:dyDescent="0.25">
      <c r="A7030" s="57">
        <v>41104007</v>
      </c>
      <c r="B7030" s="58" t="s">
        <v>13839</v>
      </c>
    </row>
    <row r="7031" spans="1:2" x14ac:dyDescent="0.25">
      <c r="A7031" s="57">
        <v>41104008</v>
      </c>
      <c r="B7031" s="58" t="s">
        <v>4254</v>
      </c>
    </row>
    <row r="7032" spans="1:2" x14ac:dyDescent="0.25">
      <c r="A7032" s="57">
        <v>41104009</v>
      </c>
      <c r="B7032" s="58" t="s">
        <v>945</v>
      </c>
    </row>
    <row r="7033" spans="1:2" x14ac:dyDescent="0.25">
      <c r="A7033" s="57">
        <v>41104010</v>
      </c>
      <c r="B7033" s="58" t="s">
        <v>17821</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13572</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6739</v>
      </c>
    </row>
    <row r="7046" spans="1:2" x14ac:dyDescent="0.25">
      <c r="A7046" s="57">
        <v>41104103</v>
      </c>
      <c r="B7046" s="58" t="s">
        <v>14676</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11046</v>
      </c>
    </row>
    <row r="7051" spans="1:2" x14ac:dyDescent="0.25">
      <c r="A7051" s="57">
        <v>41104108</v>
      </c>
      <c r="B7051" s="58" t="s">
        <v>9411</v>
      </c>
    </row>
    <row r="7052" spans="1:2" x14ac:dyDescent="0.25">
      <c r="A7052" s="57">
        <v>41104109</v>
      </c>
      <c r="B7052" s="58" t="s">
        <v>4036</v>
      </c>
    </row>
    <row r="7053" spans="1:2" x14ac:dyDescent="0.25">
      <c r="A7053" s="57">
        <v>41104110</v>
      </c>
      <c r="B7053" s="58" t="s">
        <v>17273</v>
      </c>
    </row>
    <row r="7054" spans="1:2" x14ac:dyDescent="0.25">
      <c r="A7054" s="57">
        <v>41104111</v>
      </c>
      <c r="B7054" s="58" t="s">
        <v>1242</v>
      </c>
    </row>
    <row r="7055" spans="1:2" x14ac:dyDescent="0.25">
      <c r="A7055" s="57">
        <v>41104112</v>
      </c>
      <c r="B7055" s="58" t="s">
        <v>4816</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17768</v>
      </c>
    </row>
    <row r="7067" spans="1:2" x14ac:dyDescent="0.25">
      <c r="A7067" s="57">
        <v>41104201</v>
      </c>
      <c r="B7067" s="58" t="s">
        <v>17487</v>
      </c>
    </row>
    <row r="7068" spans="1:2" x14ac:dyDescent="0.25">
      <c r="A7068" s="57">
        <v>41104202</v>
      </c>
      <c r="B7068" s="58" t="s">
        <v>11930</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11665</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6253</v>
      </c>
    </row>
    <row r="7093" spans="1:2" x14ac:dyDescent="0.25">
      <c r="A7093" s="57">
        <v>41104407</v>
      </c>
      <c r="B7093" s="58" t="s">
        <v>12923</v>
      </c>
    </row>
    <row r="7094" spans="1:2" x14ac:dyDescent="0.25">
      <c r="A7094" s="57">
        <v>41104408</v>
      </c>
      <c r="B7094" s="58" t="s">
        <v>17397</v>
      </c>
    </row>
    <row r="7095" spans="1:2" x14ac:dyDescent="0.25">
      <c r="A7095" s="57">
        <v>41104409</v>
      </c>
      <c r="B7095" s="58" t="s">
        <v>17535</v>
      </c>
    </row>
    <row r="7096" spans="1:2" x14ac:dyDescent="0.25">
      <c r="A7096" s="57">
        <v>41104410</v>
      </c>
      <c r="B7096" s="58" t="s">
        <v>15979</v>
      </c>
    </row>
    <row r="7097" spans="1:2" x14ac:dyDescent="0.25">
      <c r="A7097" s="57">
        <v>41104411</v>
      </c>
      <c r="B7097" s="58" t="s">
        <v>18631</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14195</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13200</v>
      </c>
    </row>
    <row r="7107" spans="1:2" x14ac:dyDescent="0.25">
      <c r="A7107" s="57">
        <v>41104421</v>
      </c>
      <c r="B7107" s="58" t="s">
        <v>10877</v>
      </c>
    </row>
    <row r="7108" spans="1:2" x14ac:dyDescent="0.25">
      <c r="A7108" s="57">
        <v>41104422</v>
      </c>
      <c r="B7108" s="58" t="s">
        <v>15334</v>
      </c>
    </row>
    <row r="7109" spans="1:2" x14ac:dyDescent="0.25">
      <c r="A7109" s="57">
        <v>41104423</v>
      </c>
      <c r="B7109" s="58" t="s">
        <v>12046</v>
      </c>
    </row>
    <row r="7110" spans="1:2" x14ac:dyDescent="0.25">
      <c r="A7110" s="57">
        <v>41104424</v>
      </c>
      <c r="B7110" s="58" t="s">
        <v>8208</v>
      </c>
    </row>
    <row r="7111" spans="1:2" x14ac:dyDescent="0.25">
      <c r="A7111" s="57">
        <v>41104501</v>
      </c>
      <c r="B7111" s="58" t="s">
        <v>17798</v>
      </c>
    </row>
    <row r="7112" spans="1:2" x14ac:dyDescent="0.25">
      <c r="A7112" s="57">
        <v>41104502</v>
      </c>
      <c r="B7112" s="58" t="s">
        <v>31</v>
      </c>
    </row>
    <row r="7113" spans="1:2" x14ac:dyDescent="0.25">
      <c r="A7113" s="57">
        <v>41104503</v>
      </c>
      <c r="B7113" s="58" t="s">
        <v>8408</v>
      </c>
    </row>
    <row r="7114" spans="1:2" x14ac:dyDescent="0.25">
      <c r="A7114" s="57">
        <v>41104504</v>
      </c>
      <c r="B7114" s="58" t="s">
        <v>11474</v>
      </c>
    </row>
    <row r="7115" spans="1:2" x14ac:dyDescent="0.25">
      <c r="A7115" s="57">
        <v>41104505</v>
      </c>
      <c r="B7115" s="58" t="s">
        <v>11192</v>
      </c>
    </row>
    <row r="7116" spans="1:2" x14ac:dyDescent="0.25">
      <c r="A7116" s="57">
        <v>41104506</v>
      </c>
      <c r="B7116" s="58" t="s">
        <v>5661</v>
      </c>
    </row>
    <row r="7117" spans="1:2" x14ac:dyDescent="0.25">
      <c r="A7117" s="57">
        <v>41104507</v>
      </c>
      <c r="B7117" s="58" t="s">
        <v>9126</v>
      </c>
    </row>
    <row r="7118" spans="1:2" x14ac:dyDescent="0.25">
      <c r="A7118" s="57">
        <v>41104508</v>
      </c>
      <c r="B7118" s="58" t="s">
        <v>10972</v>
      </c>
    </row>
    <row r="7119" spans="1:2" x14ac:dyDescent="0.25">
      <c r="A7119" s="57">
        <v>41104509</v>
      </c>
      <c r="B7119" s="58" t="s">
        <v>9021</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10015</v>
      </c>
    </row>
    <row r="7128" spans="1:2" x14ac:dyDescent="0.25">
      <c r="A7128" s="57">
        <v>41104606</v>
      </c>
      <c r="B7128" s="58" t="s">
        <v>5144</v>
      </c>
    </row>
    <row r="7129" spans="1:2" x14ac:dyDescent="0.25">
      <c r="A7129" s="57">
        <v>41104607</v>
      </c>
      <c r="B7129" s="58" t="s">
        <v>6306</v>
      </c>
    </row>
    <row r="7130" spans="1:2" x14ac:dyDescent="0.25">
      <c r="A7130" s="57">
        <v>41104608</v>
      </c>
      <c r="B7130" s="58" t="s">
        <v>11707</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13866</v>
      </c>
    </row>
    <row r="7138" spans="1:2" x14ac:dyDescent="0.25">
      <c r="A7138" s="57">
        <v>41104704</v>
      </c>
      <c r="B7138" s="58" t="s">
        <v>8107</v>
      </c>
    </row>
    <row r="7139" spans="1:2" x14ac:dyDescent="0.25">
      <c r="A7139" s="57">
        <v>41104801</v>
      </c>
      <c r="B7139" s="58" t="s">
        <v>6113</v>
      </c>
    </row>
    <row r="7140" spans="1:2" x14ac:dyDescent="0.25">
      <c r="A7140" s="57">
        <v>41104802</v>
      </c>
      <c r="B7140" s="58" t="s">
        <v>465</v>
      </c>
    </row>
    <row r="7141" spans="1:2" x14ac:dyDescent="0.25">
      <c r="A7141" s="57">
        <v>41104803</v>
      </c>
      <c r="B7141" s="58" t="s">
        <v>11999</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11386</v>
      </c>
    </row>
    <row r="7147" spans="1:2" x14ac:dyDescent="0.25">
      <c r="A7147" s="57">
        <v>41104809</v>
      </c>
      <c r="B7147" s="58" t="s">
        <v>6423</v>
      </c>
    </row>
    <row r="7148" spans="1:2" x14ac:dyDescent="0.25">
      <c r="A7148" s="57">
        <v>41104810</v>
      </c>
      <c r="B7148" s="58" t="s">
        <v>12531</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10090</v>
      </c>
    </row>
    <row r="7156" spans="1:2" x14ac:dyDescent="0.25">
      <c r="A7156" s="57">
        <v>41104901</v>
      </c>
      <c r="B7156" s="58" t="s">
        <v>10188</v>
      </c>
    </row>
    <row r="7157" spans="1:2" x14ac:dyDescent="0.25">
      <c r="A7157" s="57">
        <v>41104902</v>
      </c>
      <c r="B7157" s="58" t="s">
        <v>17632</v>
      </c>
    </row>
    <row r="7158" spans="1:2" x14ac:dyDescent="0.25">
      <c r="A7158" s="57">
        <v>41104903</v>
      </c>
      <c r="B7158" s="58" t="s">
        <v>2294</v>
      </c>
    </row>
    <row r="7159" spans="1:2" x14ac:dyDescent="0.25">
      <c r="A7159" s="57">
        <v>41104904</v>
      </c>
      <c r="B7159" s="58" t="s">
        <v>10859</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17584</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7281</v>
      </c>
    </row>
    <row r="7172" spans="1:2" x14ac:dyDescent="0.25">
      <c r="A7172" s="57">
        <v>41104917</v>
      </c>
      <c r="B7172" s="58" t="s">
        <v>10261</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17643</v>
      </c>
    </row>
    <row r="7191" spans="1:2" x14ac:dyDescent="0.25">
      <c r="A7191" s="57">
        <v>41105104</v>
      </c>
      <c r="B7191" s="58" t="s">
        <v>3835</v>
      </c>
    </row>
    <row r="7192" spans="1:2" x14ac:dyDescent="0.25">
      <c r="A7192" s="57">
        <v>41105105</v>
      </c>
      <c r="B7192" s="58" t="s">
        <v>15408</v>
      </c>
    </row>
    <row r="7193" spans="1:2" x14ac:dyDescent="0.25">
      <c r="A7193" s="57">
        <v>41105106</v>
      </c>
      <c r="B7193" s="58" t="s">
        <v>12141</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18688</v>
      </c>
    </row>
    <row r="7198" spans="1:2" x14ac:dyDescent="0.25">
      <c r="A7198" s="57">
        <v>41105202</v>
      </c>
      <c r="B7198" s="58" t="s">
        <v>9948</v>
      </c>
    </row>
    <row r="7199" spans="1:2" x14ac:dyDescent="0.25">
      <c r="A7199" s="57">
        <v>41105203</v>
      </c>
      <c r="B7199" s="58" t="s">
        <v>3117</v>
      </c>
    </row>
    <row r="7200" spans="1:2" x14ac:dyDescent="0.25">
      <c r="A7200" s="57">
        <v>41105204</v>
      </c>
      <c r="B7200" s="58" t="s">
        <v>17517</v>
      </c>
    </row>
    <row r="7201" spans="1:2" x14ac:dyDescent="0.25">
      <c r="A7201" s="57">
        <v>41105205</v>
      </c>
      <c r="B7201" s="58" t="s">
        <v>4921</v>
      </c>
    </row>
    <row r="7202" spans="1:2" x14ac:dyDescent="0.25">
      <c r="A7202" s="57">
        <v>41105301</v>
      </c>
      <c r="B7202" s="58" t="s">
        <v>11143</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12943</v>
      </c>
    </row>
    <row r="7212" spans="1:2" x14ac:dyDescent="0.25">
      <c r="A7212" s="57">
        <v>41105312</v>
      </c>
      <c r="B7212" s="58" t="s">
        <v>5158</v>
      </c>
    </row>
    <row r="7213" spans="1:2" x14ac:dyDescent="0.25">
      <c r="A7213" s="57">
        <v>41105313</v>
      </c>
      <c r="B7213" s="58" t="s">
        <v>3221</v>
      </c>
    </row>
    <row r="7214" spans="1:2" x14ac:dyDescent="0.25">
      <c r="A7214" s="57">
        <v>41105314</v>
      </c>
      <c r="B7214" s="58" t="s">
        <v>13913</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4415</v>
      </c>
    </row>
    <row r="7228" spans="1:2" x14ac:dyDescent="0.25">
      <c r="A7228" s="57">
        <v>41105328</v>
      </c>
      <c r="B7228" s="58" t="s">
        <v>12180</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11630</v>
      </c>
    </row>
    <row r="7233" spans="1:2" x14ac:dyDescent="0.25">
      <c r="A7233" s="57">
        <v>41105333</v>
      </c>
      <c r="B7233" s="58" t="s">
        <v>17629</v>
      </c>
    </row>
    <row r="7234" spans="1:2" x14ac:dyDescent="0.25">
      <c r="A7234" s="57">
        <v>41105334</v>
      </c>
      <c r="B7234" s="58" t="s">
        <v>200</v>
      </c>
    </row>
    <row r="7235" spans="1:2" x14ac:dyDescent="0.25">
      <c r="A7235" s="57">
        <v>41105335</v>
      </c>
      <c r="B7235" s="58" t="s">
        <v>18379</v>
      </c>
    </row>
    <row r="7236" spans="1:2" x14ac:dyDescent="0.25">
      <c r="A7236" s="57">
        <v>41105336</v>
      </c>
      <c r="B7236" s="58" t="s">
        <v>12082</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10026</v>
      </c>
    </row>
    <row r="7243" spans="1:2" x14ac:dyDescent="0.25">
      <c r="A7243" s="57">
        <v>41105504</v>
      </c>
      <c r="B7243" s="58" t="s">
        <v>8777</v>
      </c>
    </row>
    <row r="7244" spans="1:2" x14ac:dyDescent="0.25">
      <c r="A7244" s="57">
        <v>41105505</v>
      </c>
      <c r="B7244" s="58" t="s">
        <v>16095</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11405</v>
      </c>
    </row>
    <row r="7253" spans="1:2" x14ac:dyDescent="0.25">
      <c r="A7253" s="57">
        <v>41105514</v>
      </c>
      <c r="B7253" s="58" t="s">
        <v>5798</v>
      </c>
    </row>
    <row r="7254" spans="1:2" x14ac:dyDescent="0.25">
      <c r="A7254" s="57">
        <v>41105515</v>
      </c>
      <c r="B7254" s="58" t="s">
        <v>7956</v>
      </c>
    </row>
    <row r="7255" spans="1:2" x14ac:dyDescent="0.25">
      <c r="A7255" s="57">
        <v>41105516</v>
      </c>
      <c r="B7255" s="58" t="s">
        <v>9666</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17481</v>
      </c>
    </row>
    <row r="7262" spans="1:2" x14ac:dyDescent="0.25">
      <c r="A7262" s="57">
        <v>41105801</v>
      </c>
      <c r="B7262" s="58" t="s">
        <v>5472</v>
      </c>
    </row>
    <row r="7263" spans="1:2" x14ac:dyDescent="0.25">
      <c r="A7263" s="57">
        <v>41105802</v>
      </c>
      <c r="B7263" s="58" t="s">
        <v>4364</v>
      </c>
    </row>
    <row r="7264" spans="1:2" x14ac:dyDescent="0.25">
      <c r="A7264" s="57">
        <v>41105803</v>
      </c>
      <c r="B7264" s="58" t="s">
        <v>11889</v>
      </c>
    </row>
    <row r="7265" spans="1:2" x14ac:dyDescent="0.25">
      <c r="A7265" s="57">
        <v>41105804</v>
      </c>
      <c r="B7265" s="58" t="s">
        <v>8476</v>
      </c>
    </row>
    <row r="7266" spans="1:2" x14ac:dyDescent="0.25">
      <c r="A7266" s="57">
        <v>41105901</v>
      </c>
      <c r="B7266" s="58" t="s">
        <v>438</v>
      </c>
    </row>
    <row r="7267" spans="1:2" x14ac:dyDescent="0.25">
      <c r="A7267" s="57">
        <v>41105902</v>
      </c>
      <c r="B7267" s="58" t="s">
        <v>12578</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12737</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14300</v>
      </c>
    </row>
    <row r="7283" spans="1:2" x14ac:dyDescent="0.25">
      <c r="A7283" s="57">
        <v>41106104</v>
      </c>
      <c r="B7283" s="58" t="s">
        <v>16520</v>
      </c>
    </row>
    <row r="7284" spans="1:2" x14ac:dyDescent="0.25">
      <c r="A7284" s="57">
        <v>41106201</v>
      </c>
      <c r="B7284" s="58" t="s">
        <v>8895</v>
      </c>
    </row>
    <row r="7285" spans="1:2" x14ac:dyDescent="0.25">
      <c r="A7285" s="57">
        <v>41106202</v>
      </c>
      <c r="B7285" s="58" t="s">
        <v>11855</v>
      </c>
    </row>
    <row r="7286" spans="1:2" x14ac:dyDescent="0.25">
      <c r="A7286" s="57">
        <v>41106203</v>
      </c>
      <c r="B7286" s="58" t="s">
        <v>6806</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12954</v>
      </c>
    </row>
    <row r="7305" spans="1:2" x14ac:dyDescent="0.25">
      <c r="A7305" s="57">
        <v>41106222</v>
      </c>
      <c r="B7305" s="58" t="s">
        <v>4000</v>
      </c>
    </row>
    <row r="7306" spans="1:2" x14ac:dyDescent="0.25">
      <c r="A7306" s="57">
        <v>41106223</v>
      </c>
      <c r="B7306" s="58" t="s">
        <v>7244</v>
      </c>
    </row>
    <row r="7307" spans="1:2" x14ac:dyDescent="0.25">
      <c r="A7307" s="57">
        <v>41106301</v>
      </c>
      <c r="B7307" s="58" t="s">
        <v>12177</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14071</v>
      </c>
    </row>
    <row r="7318" spans="1:2" x14ac:dyDescent="0.25">
      <c r="A7318" s="57">
        <v>41106312</v>
      </c>
      <c r="B7318" s="58" t="s">
        <v>4069</v>
      </c>
    </row>
    <row r="7319" spans="1:2" x14ac:dyDescent="0.25">
      <c r="A7319" s="57">
        <v>41106313</v>
      </c>
      <c r="B7319" s="58" t="s">
        <v>12905</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12174</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15654</v>
      </c>
    </row>
    <row r="7346" spans="1:2" x14ac:dyDescent="0.25">
      <c r="A7346" s="57">
        <v>41106608</v>
      </c>
      <c r="B7346" s="58" t="s">
        <v>16991</v>
      </c>
    </row>
    <row r="7347" spans="1:2" x14ac:dyDescent="0.25">
      <c r="A7347" s="57">
        <v>41106609</v>
      </c>
      <c r="B7347" s="58" t="s">
        <v>17792</v>
      </c>
    </row>
    <row r="7348" spans="1:2" x14ac:dyDescent="0.25">
      <c r="A7348" s="57">
        <v>41106610</v>
      </c>
      <c r="B7348" s="58" t="s">
        <v>2439</v>
      </c>
    </row>
    <row r="7349" spans="1:2" x14ac:dyDescent="0.25">
      <c r="A7349" s="57">
        <v>41106611</v>
      </c>
      <c r="B7349" s="58" t="s">
        <v>17394</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16544</v>
      </c>
    </row>
    <row r="7359" spans="1:2" x14ac:dyDescent="0.25">
      <c r="A7359" s="57">
        <v>41106621</v>
      </c>
      <c r="B7359" s="58" t="s">
        <v>5042</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17607</v>
      </c>
    </row>
    <row r="7373" spans="1:2" x14ac:dyDescent="0.25">
      <c r="A7373" s="57">
        <v>41111513</v>
      </c>
      <c r="B7373" s="58" t="s">
        <v>15383</v>
      </c>
    </row>
    <row r="7374" spans="1:2" x14ac:dyDescent="0.25">
      <c r="A7374" s="57">
        <v>41111515</v>
      </c>
      <c r="B7374" s="58" t="s">
        <v>7350</v>
      </c>
    </row>
    <row r="7375" spans="1:2" x14ac:dyDescent="0.25">
      <c r="A7375" s="57">
        <v>41111516</v>
      </c>
      <c r="B7375" s="58" t="s">
        <v>17743</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12069</v>
      </c>
    </row>
    <row r="7390" spans="1:2" x14ac:dyDescent="0.25">
      <c r="A7390" s="57">
        <v>41111619</v>
      </c>
      <c r="B7390" s="58" t="s">
        <v>13620</v>
      </c>
    </row>
    <row r="7391" spans="1:2" x14ac:dyDescent="0.25">
      <c r="A7391" s="57">
        <v>41111620</v>
      </c>
      <c r="B7391" s="58" t="s">
        <v>10868</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13335</v>
      </c>
    </row>
    <row r="7396" spans="1:2" x14ac:dyDescent="0.25">
      <c r="A7396" s="57">
        <v>41111702</v>
      </c>
      <c r="B7396" s="58" t="s">
        <v>8558</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10917</v>
      </c>
    </row>
    <row r="7405" spans="1:2" x14ac:dyDescent="0.25">
      <c r="A7405" s="57">
        <v>41111711</v>
      </c>
      <c r="B7405" s="58" t="s">
        <v>6944</v>
      </c>
    </row>
    <row r="7406" spans="1:2" x14ac:dyDescent="0.25">
      <c r="A7406" s="57">
        <v>41111712</v>
      </c>
      <c r="B7406" s="58" t="s">
        <v>14021</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5999</v>
      </c>
    </row>
    <row r="7417" spans="1:2" x14ac:dyDescent="0.25">
      <c r="A7417" s="57">
        <v>41111723</v>
      </c>
      <c r="B7417" s="58" t="s">
        <v>10444</v>
      </c>
    </row>
    <row r="7418" spans="1:2" x14ac:dyDescent="0.25">
      <c r="A7418" s="57">
        <v>41111724</v>
      </c>
      <c r="B7418" s="58" t="s">
        <v>13497</v>
      </c>
    </row>
    <row r="7419" spans="1:2" x14ac:dyDescent="0.25">
      <c r="A7419" s="57">
        <v>41111725</v>
      </c>
      <c r="B7419" s="58" t="s">
        <v>18080</v>
      </c>
    </row>
    <row r="7420" spans="1:2" x14ac:dyDescent="0.25">
      <c r="A7420" s="57">
        <v>41111726</v>
      </c>
      <c r="B7420" s="58" t="s">
        <v>12743</v>
      </c>
    </row>
    <row r="7421" spans="1:2" x14ac:dyDescent="0.25">
      <c r="A7421" s="57">
        <v>41111727</v>
      </c>
      <c r="B7421" s="58" t="s">
        <v>4775</v>
      </c>
    </row>
    <row r="7422" spans="1:2" x14ac:dyDescent="0.25">
      <c r="A7422" s="57">
        <v>41111728</v>
      </c>
      <c r="B7422" s="58" t="s">
        <v>5139</v>
      </c>
    </row>
    <row r="7423" spans="1:2" x14ac:dyDescent="0.25">
      <c r="A7423" s="57">
        <v>41111729</v>
      </c>
      <c r="B7423" s="58" t="s">
        <v>17967</v>
      </c>
    </row>
    <row r="7424" spans="1:2" x14ac:dyDescent="0.25">
      <c r="A7424" s="57">
        <v>41111730</v>
      </c>
      <c r="B7424" s="58" t="s">
        <v>3301</v>
      </c>
    </row>
    <row r="7425" spans="1:2" x14ac:dyDescent="0.25">
      <c r="A7425" s="57">
        <v>41111731</v>
      </c>
      <c r="B7425" s="58" t="s">
        <v>13354</v>
      </c>
    </row>
    <row r="7426" spans="1:2" x14ac:dyDescent="0.25">
      <c r="A7426" s="57">
        <v>41111733</v>
      </c>
      <c r="B7426" s="58" t="s">
        <v>13166</v>
      </c>
    </row>
    <row r="7427" spans="1:2" x14ac:dyDescent="0.25">
      <c r="A7427" s="57">
        <v>41111734</v>
      </c>
      <c r="B7427" s="58" t="s">
        <v>6085</v>
      </c>
    </row>
    <row r="7428" spans="1:2" x14ac:dyDescent="0.25">
      <c r="A7428" s="57">
        <v>41111735</v>
      </c>
      <c r="B7428" s="58" t="s">
        <v>17407</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14287</v>
      </c>
    </row>
    <row r="7451" spans="1:2" x14ac:dyDescent="0.25">
      <c r="A7451" s="57">
        <v>41111910</v>
      </c>
      <c r="B7451" s="58" t="s">
        <v>8202</v>
      </c>
    </row>
    <row r="7452" spans="1:2" x14ac:dyDescent="0.25">
      <c r="A7452" s="57">
        <v>41111911</v>
      </c>
      <c r="B7452" s="58" t="s">
        <v>14570</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13029</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5944</v>
      </c>
    </row>
    <row r="7463" spans="1:2" x14ac:dyDescent="0.25">
      <c r="A7463" s="57">
        <v>41111922</v>
      </c>
      <c r="B7463" s="58" t="s">
        <v>17646</v>
      </c>
    </row>
    <row r="7464" spans="1:2" x14ac:dyDescent="0.25">
      <c r="A7464" s="57">
        <v>41111923</v>
      </c>
      <c r="B7464" s="58" t="s">
        <v>10524</v>
      </c>
    </row>
    <row r="7465" spans="1:2" x14ac:dyDescent="0.25">
      <c r="A7465" s="57">
        <v>41111924</v>
      </c>
      <c r="B7465" s="58" t="s">
        <v>5376</v>
      </c>
    </row>
    <row r="7466" spans="1:2" x14ac:dyDescent="0.25">
      <c r="A7466" s="57">
        <v>41111926</v>
      </c>
      <c r="B7466" s="58" t="s">
        <v>8141</v>
      </c>
    </row>
    <row r="7467" spans="1:2" x14ac:dyDescent="0.25">
      <c r="A7467" s="57">
        <v>41111927</v>
      </c>
      <c r="B7467" s="58" t="s">
        <v>6180</v>
      </c>
    </row>
    <row r="7468" spans="1:2" x14ac:dyDescent="0.25">
      <c r="A7468" s="57">
        <v>41111928</v>
      </c>
      <c r="B7468" s="58" t="s">
        <v>3862</v>
      </c>
    </row>
    <row r="7469" spans="1:2" x14ac:dyDescent="0.25">
      <c r="A7469" s="57">
        <v>41111929</v>
      </c>
      <c r="B7469" s="58" t="s">
        <v>9952</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14708</v>
      </c>
    </row>
    <row r="7478" spans="1:2" x14ac:dyDescent="0.25">
      <c r="A7478" s="57">
        <v>41111938</v>
      </c>
      <c r="B7478" s="58" t="s">
        <v>17833</v>
      </c>
    </row>
    <row r="7479" spans="1:2" x14ac:dyDescent="0.25">
      <c r="A7479" s="57">
        <v>41111939</v>
      </c>
      <c r="B7479" s="58" t="s">
        <v>16970</v>
      </c>
    </row>
    <row r="7480" spans="1:2" x14ac:dyDescent="0.25">
      <c r="A7480" s="57">
        <v>41111940</v>
      </c>
      <c r="B7480" s="58" t="s">
        <v>18720</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5548</v>
      </c>
    </row>
    <row r="7485" spans="1:2" x14ac:dyDescent="0.25">
      <c r="A7485" s="57">
        <v>41111945</v>
      </c>
      <c r="B7485" s="58" t="s">
        <v>10280</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13343</v>
      </c>
    </row>
    <row r="7494" spans="1:2" x14ac:dyDescent="0.25">
      <c r="A7494" s="57">
        <v>41112107</v>
      </c>
      <c r="B7494" s="58" t="s">
        <v>6927</v>
      </c>
    </row>
    <row r="7495" spans="1:2" x14ac:dyDescent="0.25">
      <c r="A7495" s="57">
        <v>41112108</v>
      </c>
      <c r="B7495" s="58" t="s">
        <v>14355</v>
      </c>
    </row>
    <row r="7496" spans="1:2" x14ac:dyDescent="0.25">
      <c r="A7496" s="57">
        <v>41112201</v>
      </c>
      <c r="B7496" s="58" t="s">
        <v>2296</v>
      </c>
    </row>
    <row r="7497" spans="1:2" x14ac:dyDescent="0.25">
      <c r="A7497" s="57">
        <v>41112202</v>
      </c>
      <c r="B7497" s="58" t="s">
        <v>7069</v>
      </c>
    </row>
    <row r="7498" spans="1:2" x14ac:dyDescent="0.25">
      <c r="A7498" s="57">
        <v>41112203</v>
      </c>
      <c r="B7498" s="58" t="s">
        <v>11976</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17712</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13617</v>
      </c>
    </row>
    <row r="7520" spans="1:2" x14ac:dyDescent="0.25">
      <c r="A7520" s="57">
        <v>41112401</v>
      </c>
      <c r="B7520" s="58" t="s">
        <v>11799</v>
      </c>
    </row>
    <row r="7521" spans="1:2" x14ac:dyDescent="0.25">
      <c r="A7521" s="57">
        <v>41112402</v>
      </c>
      <c r="B7521" s="58" t="s">
        <v>2575</v>
      </c>
    </row>
    <row r="7522" spans="1:2" x14ac:dyDescent="0.25">
      <c r="A7522" s="57">
        <v>41112403</v>
      </c>
      <c r="B7522" s="58" t="s">
        <v>17451</v>
      </c>
    </row>
    <row r="7523" spans="1:2" x14ac:dyDescent="0.25">
      <c r="A7523" s="57">
        <v>41112404</v>
      </c>
      <c r="B7523" s="58" t="s">
        <v>1804</v>
      </c>
    </row>
    <row r="7524" spans="1:2" x14ac:dyDescent="0.25">
      <c r="A7524" s="57">
        <v>41112405</v>
      </c>
      <c r="B7524" s="58" t="s">
        <v>7505</v>
      </c>
    </row>
    <row r="7525" spans="1:2" x14ac:dyDescent="0.25">
      <c r="A7525" s="57">
        <v>41112406</v>
      </c>
      <c r="B7525" s="58" t="s">
        <v>10279</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10786</v>
      </c>
    </row>
    <row r="7534" spans="1:2" x14ac:dyDescent="0.25">
      <c r="A7534" s="57">
        <v>41112504</v>
      </c>
      <c r="B7534" s="58" t="s">
        <v>5689</v>
      </c>
    </row>
    <row r="7535" spans="1:2" x14ac:dyDescent="0.25">
      <c r="A7535" s="57">
        <v>41112505</v>
      </c>
      <c r="B7535" s="58" t="s">
        <v>15168</v>
      </c>
    </row>
    <row r="7536" spans="1:2" x14ac:dyDescent="0.25">
      <c r="A7536" s="57">
        <v>41112506</v>
      </c>
      <c r="B7536" s="58" t="s">
        <v>13959</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17413</v>
      </c>
    </row>
    <row r="7546" spans="1:2" x14ac:dyDescent="0.25">
      <c r="A7546" s="57">
        <v>41112602</v>
      </c>
      <c r="B7546" s="58" t="s">
        <v>65</v>
      </c>
    </row>
    <row r="7547" spans="1:2" x14ac:dyDescent="0.25">
      <c r="A7547" s="57">
        <v>41112701</v>
      </c>
      <c r="B7547" s="58" t="s">
        <v>12397</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2962</v>
      </c>
    </row>
    <row r="7552" spans="1:2" x14ac:dyDescent="0.25">
      <c r="A7552" s="57">
        <v>41112803</v>
      </c>
      <c r="B7552" s="58" t="s">
        <v>17326</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13573</v>
      </c>
    </row>
    <row r="7558" spans="1:2" x14ac:dyDescent="0.25">
      <c r="A7558" s="57">
        <v>41113002</v>
      </c>
      <c r="B7558" s="58" t="s">
        <v>2228</v>
      </c>
    </row>
    <row r="7559" spans="1:2" x14ac:dyDescent="0.25">
      <c r="A7559" s="57">
        <v>41113003</v>
      </c>
      <c r="B7559" s="58" t="s">
        <v>6061</v>
      </c>
    </row>
    <row r="7560" spans="1:2" x14ac:dyDescent="0.25">
      <c r="A7560" s="57">
        <v>41113004</v>
      </c>
      <c r="B7560" s="58" t="s">
        <v>11598</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14531</v>
      </c>
    </row>
    <row r="7565" spans="1:2" x14ac:dyDescent="0.25">
      <c r="A7565" s="57">
        <v>41113009</v>
      </c>
      <c r="B7565" s="58" t="s">
        <v>15186</v>
      </c>
    </row>
    <row r="7566" spans="1:2" x14ac:dyDescent="0.25">
      <c r="A7566" s="57">
        <v>41113010</v>
      </c>
      <c r="B7566" s="58" t="s">
        <v>17729</v>
      </c>
    </row>
    <row r="7567" spans="1:2" x14ac:dyDescent="0.25">
      <c r="A7567" s="57">
        <v>41113023</v>
      </c>
      <c r="B7567" s="58" t="s">
        <v>10950</v>
      </c>
    </row>
    <row r="7568" spans="1:2" x14ac:dyDescent="0.25">
      <c r="A7568" s="57">
        <v>41113024</v>
      </c>
      <c r="B7568" s="58" t="s">
        <v>11283</v>
      </c>
    </row>
    <row r="7569" spans="1:2" x14ac:dyDescent="0.25">
      <c r="A7569" s="57">
        <v>41113025</v>
      </c>
      <c r="B7569" s="58" t="s">
        <v>8273</v>
      </c>
    </row>
    <row r="7570" spans="1:2" x14ac:dyDescent="0.25">
      <c r="A7570" s="57">
        <v>41113026</v>
      </c>
      <c r="B7570" s="58" t="s">
        <v>2162</v>
      </c>
    </row>
    <row r="7571" spans="1:2" x14ac:dyDescent="0.25">
      <c r="A7571" s="57">
        <v>41113027</v>
      </c>
      <c r="B7571" s="58" t="s">
        <v>13147</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11678</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13189</v>
      </c>
    </row>
    <row r="7583" spans="1:2" x14ac:dyDescent="0.25">
      <c r="A7583" s="57">
        <v>41113104</v>
      </c>
      <c r="B7583" s="58" t="s">
        <v>7032</v>
      </c>
    </row>
    <row r="7584" spans="1:2" x14ac:dyDescent="0.25">
      <c r="A7584" s="57">
        <v>41113105</v>
      </c>
      <c r="B7584" s="58" t="s">
        <v>1724</v>
      </c>
    </row>
    <row r="7585" spans="1:2" x14ac:dyDescent="0.25">
      <c r="A7585" s="57">
        <v>41113106</v>
      </c>
      <c r="B7585" s="58" t="s">
        <v>6145</v>
      </c>
    </row>
    <row r="7586" spans="1:2" x14ac:dyDescent="0.25">
      <c r="A7586" s="57">
        <v>41113107</v>
      </c>
      <c r="B7586" s="58" t="s">
        <v>16294</v>
      </c>
    </row>
    <row r="7587" spans="1:2" x14ac:dyDescent="0.25">
      <c r="A7587" s="57">
        <v>41113108</v>
      </c>
      <c r="B7587" s="58" t="s">
        <v>7300</v>
      </c>
    </row>
    <row r="7588" spans="1:2" x14ac:dyDescent="0.25">
      <c r="A7588" s="57">
        <v>41113109</v>
      </c>
      <c r="B7588" s="58" t="s">
        <v>12906</v>
      </c>
    </row>
    <row r="7589" spans="1:2" x14ac:dyDescent="0.25">
      <c r="A7589" s="57">
        <v>41113110</v>
      </c>
      <c r="B7589" s="58" t="s">
        <v>5335</v>
      </c>
    </row>
    <row r="7590" spans="1:2" x14ac:dyDescent="0.25">
      <c r="A7590" s="57">
        <v>41113111</v>
      </c>
      <c r="B7590" s="58" t="s">
        <v>11016</v>
      </c>
    </row>
    <row r="7591" spans="1:2" x14ac:dyDescent="0.25">
      <c r="A7591" s="57">
        <v>41113112</v>
      </c>
      <c r="B7591" s="58" t="s">
        <v>13186</v>
      </c>
    </row>
    <row r="7592" spans="1:2" x14ac:dyDescent="0.25">
      <c r="A7592" s="57">
        <v>41113113</v>
      </c>
      <c r="B7592" s="58" t="s">
        <v>15788</v>
      </c>
    </row>
    <row r="7593" spans="1:2" x14ac:dyDescent="0.25">
      <c r="A7593" s="57">
        <v>41113114</v>
      </c>
      <c r="B7593" s="58" t="s">
        <v>17934</v>
      </c>
    </row>
    <row r="7594" spans="1:2" x14ac:dyDescent="0.25">
      <c r="A7594" s="57">
        <v>41113115</v>
      </c>
      <c r="B7594" s="58" t="s">
        <v>13506</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10151</v>
      </c>
    </row>
    <row r="7600" spans="1:2" x14ac:dyDescent="0.25">
      <c r="A7600" s="57">
        <v>41113302</v>
      </c>
      <c r="B7600" s="58" t="s">
        <v>8489</v>
      </c>
    </row>
    <row r="7601" spans="1:2" x14ac:dyDescent="0.25">
      <c r="A7601" s="57">
        <v>41113304</v>
      </c>
      <c r="B7601" s="58" t="s">
        <v>14411</v>
      </c>
    </row>
    <row r="7602" spans="1:2" x14ac:dyDescent="0.25">
      <c r="A7602" s="57">
        <v>41113305</v>
      </c>
      <c r="B7602" s="58" t="s">
        <v>9683</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12275</v>
      </c>
    </row>
    <row r="7609" spans="1:2" x14ac:dyDescent="0.25">
      <c r="A7609" s="57">
        <v>41113313</v>
      </c>
      <c r="B7609" s="58" t="s">
        <v>6197</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14269</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13582</v>
      </c>
    </row>
    <row r="7630" spans="1:2" x14ac:dyDescent="0.25">
      <c r="A7630" s="57">
        <v>41113605</v>
      </c>
      <c r="B7630" s="58" t="s">
        <v>5943</v>
      </c>
    </row>
    <row r="7631" spans="1:2" x14ac:dyDescent="0.25">
      <c r="A7631" s="57">
        <v>41113606</v>
      </c>
      <c r="B7631" s="58" t="s">
        <v>784</v>
      </c>
    </row>
    <row r="7632" spans="1:2" x14ac:dyDescent="0.25">
      <c r="A7632" s="57">
        <v>41113607</v>
      </c>
      <c r="B7632" s="58" t="s">
        <v>5783</v>
      </c>
    </row>
    <row r="7633" spans="1:2" x14ac:dyDescent="0.25">
      <c r="A7633" s="57">
        <v>41113608</v>
      </c>
      <c r="B7633" s="58" t="s">
        <v>10376</v>
      </c>
    </row>
    <row r="7634" spans="1:2" x14ac:dyDescent="0.25">
      <c r="A7634" s="57">
        <v>41113611</v>
      </c>
      <c r="B7634" s="58" t="s">
        <v>12440</v>
      </c>
    </row>
    <row r="7635" spans="1:2" x14ac:dyDescent="0.25">
      <c r="A7635" s="57">
        <v>41113612</v>
      </c>
      <c r="B7635" s="58" t="s">
        <v>9363</v>
      </c>
    </row>
    <row r="7636" spans="1:2" x14ac:dyDescent="0.25">
      <c r="A7636" s="57">
        <v>41113613</v>
      </c>
      <c r="B7636" s="58" t="s">
        <v>894</v>
      </c>
    </row>
    <row r="7637" spans="1:2" x14ac:dyDescent="0.25">
      <c r="A7637" s="57">
        <v>41113614</v>
      </c>
      <c r="B7637" s="58" t="s">
        <v>14080</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14162</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6967</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18644</v>
      </c>
    </row>
    <row r="7659" spans="1:2" x14ac:dyDescent="0.25">
      <c r="A7659" s="57">
        <v>41113636</v>
      </c>
      <c r="B7659" s="58" t="s">
        <v>11356</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9953</v>
      </c>
    </row>
    <row r="7676" spans="1:2" x14ac:dyDescent="0.25">
      <c r="A7676" s="57">
        <v>41113705</v>
      </c>
      <c r="B7676" s="58" t="s">
        <v>8018</v>
      </c>
    </row>
    <row r="7677" spans="1:2" x14ac:dyDescent="0.25">
      <c r="A7677" s="57">
        <v>41113706</v>
      </c>
      <c r="B7677" s="58" t="s">
        <v>1065</v>
      </c>
    </row>
    <row r="7678" spans="1:2" x14ac:dyDescent="0.25">
      <c r="A7678" s="57">
        <v>41113707</v>
      </c>
      <c r="B7678" s="58" t="s">
        <v>18811</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11620</v>
      </c>
    </row>
    <row r="7683" spans="1:2" x14ac:dyDescent="0.25">
      <c r="A7683" s="57">
        <v>41113712</v>
      </c>
      <c r="B7683" s="58" t="s">
        <v>17170</v>
      </c>
    </row>
    <row r="7684" spans="1:2" x14ac:dyDescent="0.25">
      <c r="A7684" s="57">
        <v>41113713</v>
      </c>
      <c r="B7684" s="58" t="s">
        <v>11313</v>
      </c>
    </row>
    <row r="7685" spans="1:2" x14ac:dyDescent="0.25">
      <c r="A7685" s="57">
        <v>41113714</v>
      </c>
      <c r="B7685" s="58" t="s">
        <v>4924</v>
      </c>
    </row>
    <row r="7686" spans="1:2" x14ac:dyDescent="0.25">
      <c r="A7686" s="57">
        <v>41113715</v>
      </c>
      <c r="B7686" s="58" t="s">
        <v>1386</v>
      </c>
    </row>
    <row r="7687" spans="1:2" x14ac:dyDescent="0.25">
      <c r="A7687" s="57">
        <v>41113716</v>
      </c>
      <c r="B7687" s="58" t="s">
        <v>17368</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17655</v>
      </c>
    </row>
    <row r="7703" spans="1:2" x14ac:dyDescent="0.25">
      <c r="A7703" s="57">
        <v>41113906</v>
      </c>
      <c r="B7703" s="58" t="s">
        <v>9068</v>
      </c>
    </row>
    <row r="7704" spans="1:2" x14ac:dyDescent="0.25">
      <c r="A7704" s="57">
        <v>41113907</v>
      </c>
      <c r="B7704" s="58" t="s">
        <v>2912</v>
      </c>
    </row>
    <row r="7705" spans="1:2" x14ac:dyDescent="0.25">
      <c r="A7705" s="57">
        <v>41113908</v>
      </c>
      <c r="B7705" s="58" t="s">
        <v>17693</v>
      </c>
    </row>
    <row r="7706" spans="1:2" x14ac:dyDescent="0.25">
      <c r="A7706" s="57">
        <v>41113909</v>
      </c>
      <c r="B7706" s="58" t="s">
        <v>7444</v>
      </c>
    </row>
    <row r="7707" spans="1:2" x14ac:dyDescent="0.25">
      <c r="A7707" s="57">
        <v>41113910</v>
      </c>
      <c r="B7707" s="58" t="s">
        <v>13307</v>
      </c>
    </row>
    <row r="7708" spans="1:2" x14ac:dyDescent="0.25">
      <c r="A7708" s="57">
        <v>41114001</v>
      </c>
      <c r="B7708" s="58" t="s">
        <v>10516</v>
      </c>
    </row>
    <row r="7709" spans="1:2" x14ac:dyDescent="0.25">
      <c r="A7709" s="57">
        <v>41114102</v>
      </c>
      <c r="B7709" s="58" t="s">
        <v>4669</v>
      </c>
    </row>
    <row r="7710" spans="1:2" x14ac:dyDescent="0.25">
      <c r="A7710" s="57">
        <v>41114103</v>
      </c>
      <c r="B7710" s="58" t="s">
        <v>14123</v>
      </c>
    </row>
    <row r="7711" spans="1:2" x14ac:dyDescent="0.25">
      <c r="A7711" s="57">
        <v>41114104</v>
      </c>
      <c r="B7711" s="58" t="s">
        <v>8195</v>
      </c>
    </row>
    <row r="7712" spans="1:2" x14ac:dyDescent="0.25">
      <c r="A7712" s="57">
        <v>41114105</v>
      </c>
      <c r="B7712" s="58" t="s">
        <v>5918</v>
      </c>
    </row>
    <row r="7713" spans="1:2" x14ac:dyDescent="0.25">
      <c r="A7713" s="57">
        <v>41114106</v>
      </c>
      <c r="B7713" s="58" t="s">
        <v>14594</v>
      </c>
    </row>
    <row r="7714" spans="1:2" x14ac:dyDescent="0.25">
      <c r="A7714" s="57">
        <v>41114107</v>
      </c>
      <c r="B7714" s="58" t="s">
        <v>3103</v>
      </c>
    </row>
    <row r="7715" spans="1:2" x14ac:dyDescent="0.25">
      <c r="A7715" s="57">
        <v>41114108</v>
      </c>
      <c r="B7715" s="58" t="s">
        <v>17337</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11621</v>
      </c>
    </row>
    <row r="7722" spans="1:2" x14ac:dyDescent="0.25">
      <c r="A7722" s="57">
        <v>41114301</v>
      </c>
      <c r="B7722" s="58" t="s">
        <v>4210</v>
      </c>
    </row>
    <row r="7723" spans="1:2" x14ac:dyDescent="0.25">
      <c r="A7723" s="57">
        <v>41114302</v>
      </c>
      <c r="B7723" s="58" t="s">
        <v>17422</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12518</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13710</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11852</v>
      </c>
    </row>
    <row r="7741" spans="1:2" x14ac:dyDescent="0.25">
      <c r="A7741" s="57">
        <v>41114506</v>
      </c>
      <c r="B7741" s="58" t="s">
        <v>4691</v>
      </c>
    </row>
    <row r="7742" spans="1:2" x14ac:dyDescent="0.25">
      <c r="A7742" s="57">
        <v>41114507</v>
      </c>
      <c r="B7742" s="58" t="s">
        <v>18779</v>
      </c>
    </row>
    <row r="7743" spans="1:2" x14ac:dyDescent="0.25">
      <c r="A7743" s="57">
        <v>41114508</v>
      </c>
      <c r="B7743" s="58" t="s">
        <v>8089</v>
      </c>
    </row>
    <row r="7744" spans="1:2" x14ac:dyDescent="0.25">
      <c r="A7744" s="57">
        <v>41114509</v>
      </c>
      <c r="B7744" s="58" t="s">
        <v>6142</v>
      </c>
    </row>
    <row r="7745" spans="1:2" x14ac:dyDescent="0.25">
      <c r="A7745" s="57">
        <v>41114510</v>
      </c>
      <c r="B7745" s="58" t="s">
        <v>7127</v>
      </c>
    </row>
    <row r="7746" spans="1:2" x14ac:dyDescent="0.25">
      <c r="A7746" s="57">
        <v>41114601</v>
      </c>
      <c r="B7746" s="58" t="s">
        <v>764</v>
      </c>
    </row>
    <row r="7747" spans="1:2" x14ac:dyDescent="0.25">
      <c r="A7747" s="57">
        <v>41114602</v>
      </c>
      <c r="B7747" s="58" t="s">
        <v>10372</v>
      </c>
    </row>
    <row r="7748" spans="1:2" x14ac:dyDescent="0.25">
      <c r="A7748" s="57">
        <v>41114603</v>
      </c>
      <c r="B7748" s="58" t="s">
        <v>4358</v>
      </c>
    </row>
    <row r="7749" spans="1:2" x14ac:dyDescent="0.25">
      <c r="A7749" s="57">
        <v>41114604</v>
      </c>
      <c r="B7749" s="58" t="s">
        <v>11614</v>
      </c>
    </row>
    <row r="7750" spans="1:2" x14ac:dyDescent="0.25">
      <c r="A7750" s="57">
        <v>41114605</v>
      </c>
      <c r="B7750" s="58" t="s">
        <v>5861</v>
      </c>
    </row>
    <row r="7751" spans="1:2" x14ac:dyDescent="0.25">
      <c r="A7751" s="57">
        <v>41114606</v>
      </c>
      <c r="B7751" s="58" t="s">
        <v>1626</v>
      </c>
    </row>
    <row r="7752" spans="1:2" x14ac:dyDescent="0.25">
      <c r="A7752" s="57">
        <v>41114607</v>
      </c>
      <c r="B7752" s="58" t="s">
        <v>9178</v>
      </c>
    </row>
    <row r="7753" spans="1:2" x14ac:dyDescent="0.25">
      <c r="A7753" s="57">
        <v>41114608</v>
      </c>
      <c r="B7753" s="58" t="s">
        <v>11793</v>
      </c>
    </row>
    <row r="7754" spans="1:2" x14ac:dyDescent="0.25">
      <c r="A7754" s="57">
        <v>41114609</v>
      </c>
      <c r="B7754" s="58" t="s">
        <v>5628</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11499</v>
      </c>
    </row>
    <row r="7764" spans="1:2" x14ac:dyDescent="0.25">
      <c r="A7764" s="57">
        <v>41114619</v>
      </c>
      <c r="B7764" s="58" t="s">
        <v>16766</v>
      </c>
    </row>
    <row r="7765" spans="1:2" x14ac:dyDescent="0.25">
      <c r="A7765" s="57">
        <v>41114620</v>
      </c>
      <c r="B7765" s="58" t="s">
        <v>17384</v>
      </c>
    </row>
    <row r="7766" spans="1:2" x14ac:dyDescent="0.25">
      <c r="A7766" s="57">
        <v>41114621</v>
      </c>
      <c r="B7766" s="58" t="s">
        <v>4477</v>
      </c>
    </row>
    <row r="7767" spans="1:2" x14ac:dyDescent="0.25">
      <c r="A7767" s="57">
        <v>41114622</v>
      </c>
      <c r="B7767" s="58" t="s">
        <v>1205</v>
      </c>
    </row>
    <row r="7768" spans="1:2" x14ac:dyDescent="0.25">
      <c r="A7768" s="57">
        <v>41114623</v>
      </c>
      <c r="B7768" s="58" t="s">
        <v>17710</v>
      </c>
    </row>
    <row r="7769" spans="1:2" x14ac:dyDescent="0.25">
      <c r="A7769" s="57">
        <v>41114624</v>
      </c>
      <c r="B7769" s="58" t="s">
        <v>10350</v>
      </c>
    </row>
    <row r="7770" spans="1:2" x14ac:dyDescent="0.25">
      <c r="A7770" s="57">
        <v>41114625</v>
      </c>
      <c r="B7770" s="58" t="s">
        <v>9868</v>
      </c>
    </row>
    <row r="7771" spans="1:2" x14ac:dyDescent="0.25">
      <c r="A7771" s="57">
        <v>41114626</v>
      </c>
      <c r="B7771" s="58" t="s">
        <v>17844</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17254</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12988</v>
      </c>
    </row>
    <row r="7786" spans="1:2" x14ac:dyDescent="0.25">
      <c r="A7786" s="57">
        <v>41115303</v>
      </c>
      <c r="B7786" s="58" t="s">
        <v>13671</v>
      </c>
    </row>
    <row r="7787" spans="1:2" x14ac:dyDescent="0.25">
      <c r="A7787" s="57">
        <v>41115304</v>
      </c>
      <c r="B7787" s="58" t="s">
        <v>18569</v>
      </c>
    </row>
    <row r="7788" spans="1:2" x14ac:dyDescent="0.25">
      <c r="A7788" s="57">
        <v>41115305</v>
      </c>
      <c r="B7788" s="58" t="s">
        <v>17497</v>
      </c>
    </row>
    <row r="7789" spans="1:2" x14ac:dyDescent="0.25">
      <c r="A7789" s="57">
        <v>41115306</v>
      </c>
      <c r="B7789" s="58" t="s">
        <v>4783</v>
      </c>
    </row>
    <row r="7790" spans="1:2" x14ac:dyDescent="0.25">
      <c r="A7790" s="57">
        <v>41115307</v>
      </c>
      <c r="B7790" s="58" t="s">
        <v>11739</v>
      </c>
    </row>
    <row r="7791" spans="1:2" x14ac:dyDescent="0.25">
      <c r="A7791" s="57">
        <v>41115308</v>
      </c>
      <c r="B7791" s="58" t="s">
        <v>5627</v>
      </c>
    </row>
    <row r="7792" spans="1:2" x14ac:dyDescent="0.25">
      <c r="A7792" s="57">
        <v>41115309</v>
      </c>
      <c r="B7792" s="58" t="s">
        <v>11783</v>
      </c>
    </row>
    <row r="7793" spans="1:2" x14ac:dyDescent="0.25">
      <c r="A7793" s="57">
        <v>41115310</v>
      </c>
      <c r="B7793" s="58" t="s">
        <v>6815</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14490</v>
      </c>
    </row>
    <row r="7799" spans="1:2" x14ac:dyDescent="0.25">
      <c r="A7799" s="57">
        <v>41115316</v>
      </c>
      <c r="B7799" s="58" t="s">
        <v>11022</v>
      </c>
    </row>
    <row r="7800" spans="1:2" x14ac:dyDescent="0.25">
      <c r="A7800" s="57">
        <v>41115317</v>
      </c>
      <c r="B7800" s="58" t="s">
        <v>9094</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14657</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12011</v>
      </c>
    </row>
    <row r="7816" spans="1:2" x14ac:dyDescent="0.25">
      <c r="A7816" s="57">
        <v>41115411</v>
      </c>
      <c r="B7816" s="58" t="s">
        <v>18097</v>
      </c>
    </row>
    <row r="7817" spans="1:2" x14ac:dyDescent="0.25">
      <c r="A7817" s="57">
        <v>41115501</v>
      </c>
      <c r="B7817" s="58" t="s">
        <v>11673</v>
      </c>
    </row>
    <row r="7818" spans="1:2" x14ac:dyDescent="0.25">
      <c r="A7818" s="57">
        <v>41115502</v>
      </c>
      <c r="B7818" s="58" t="s">
        <v>9895</v>
      </c>
    </row>
    <row r="7819" spans="1:2" x14ac:dyDescent="0.25">
      <c r="A7819" s="57">
        <v>41115503</v>
      </c>
      <c r="B7819" s="58" t="s">
        <v>17677</v>
      </c>
    </row>
    <row r="7820" spans="1:2" x14ac:dyDescent="0.25">
      <c r="A7820" s="57">
        <v>41115504</v>
      </c>
      <c r="B7820" s="58" t="s">
        <v>6897</v>
      </c>
    </row>
    <row r="7821" spans="1:2" x14ac:dyDescent="0.25">
      <c r="A7821" s="57">
        <v>41115505</v>
      </c>
      <c r="B7821" s="58" t="s">
        <v>12818</v>
      </c>
    </row>
    <row r="7822" spans="1:2" x14ac:dyDescent="0.25">
      <c r="A7822" s="57">
        <v>41115601</v>
      </c>
      <c r="B7822" s="58" t="s">
        <v>10270</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17248</v>
      </c>
    </row>
    <row r="7827" spans="1:2" x14ac:dyDescent="0.25">
      <c r="A7827" s="57">
        <v>41115606</v>
      </c>
      <c r="B7827" s="58" t="s">
        <v>2260</v>
      </c>
    </row>
    <row r="7828" spans="1:2" x14ac:dyDescent="0.25">
      <c r="A7828" s="57">
        <v>41115607</v>
      </c>
      <c r="B7828" s="58" t="s">
        <v>4584</v>
      </c>
    </row>
    <row r="7829" spans="1:2" x14ac:dyDescent="0.25">
      <c r="A7829" s="57">
        <v>41115608</v>
      </c>
      <c r="B7829" s="58" t="s">
        <v>11628</v>
      </c>
    </row>
    <row r="7830" spans="1:2" x14ac:dyDescent="0.25">
      <c r="A7830" s="57">
        <v>41115609</v>
      </c>
      <c r="B7830" s="58" t="s">
        <v>13742</v>
      </c>
    </row>
    <row r="7831" spans="1:2" x14ac:dyDescent="0.25">
      <c r="A7831" s="57">
        <v>41115610</v>
      </c>
      <c r="B7831" s="58" t="s">
        <v>12985</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6255</v>
      </c>
    </row>
    <row r="7843" spans="1:2" x14ac:dyDescent="0.25">
      <c r="A7843" s="57">
        <v>41115708</v>
      </c>
      <c r="B7843" s="58" t="s">
        <v>4937</v>
      </c>
    </row>
    <row r="7844" spans="1:2" x14ac:dyDescent="0.25">
      <c r="A7844" s="57">
        <v>41115709</v>
      </c>
      <c r="B7844" s="58" t="s">
        <v>2263</v>
      </c>
    </row>
    <row r="7845" spans="1:2" x14ac:dyDescent="0.25">
      <c r="A7845" s="57">
        <v>41115710</v>
      </c>
      <c r="B7845" s="58" t="s">
        <v>10920</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5831</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12563</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13091</v>
      </c>
    </row>
    <row r="7869" spans="1:2" x14ac:dyDescent="0.25">
      <c r="A7869" s="57">
        <v>41115814</v>
      </c>
      <c r="B7869" s="58" t="s">
        <v>11722</v>
      </c>
    </row>
    <row r="7870" spans="1:2" x14ac:dyDescent="0.25">
      <c r="A7870" s="57">
        <v>41115815</v>
      </c>
      <c r="B7870" s="58" t="s">
        <v>18658</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12665</v>
      </c>
    </row>
    <row r="7881" spans="1:2" x14ac:dyDescent="0.25">
      <c r="A7881" s="57">
        <v>41115826</v>
      </c>
      <c r="B7881" s="58" t="s">
        <v>11658</v>
      </c>
    </row>
    <row r="7882" spans="1:2" x14ac:dyDescent="0.25">
      <c r="A7882" s="57">
        <v>41115827</v>
      </c>
      <c r="B7882" s="58" t="s">
        <v>13282</v>
      </c>
    </row>
    <row r="7883" spans="1:2" x14ac:dyDescent="0.25">
      <c r="A7883" s="57">
        <v>41115828</v>
      </c>
      <c r="B7883" s="58" t="s">
        <v>13126</v>
      </c>
    </row>
    <row r="7884" spans="1:2" x14ac:dyDescent="0.25">
      <c r="A7884" s="57">
        <v>41115829</v>
      </c>
      <c r="B7884" s="58" t="s">
        <v>12074</v>
      </c>
    </row>
    <row r="7885" spans="1:2" x14ac:dyDescent="0.25">
      <c r="A7885" s="57">
        <v>41115830</v>
      </c>
      <c r="B7885" s="58" t="s">
        <v>8440</v>
      </c>
    </row>
    <row r="7886" spans="1:2" x14ac:dyDescent="0.25">
      <c r="A7886" s="57">
        <v>41116001</v>
      </c>
      <c r="B7886" s="58" t="s">
        <v>612</v>
      </c>
    </row>
    <row r="7887" spans="1:2" x14ac:dyDescent="0.25">
      <c r="A7887" s="57">
        <v>41116002</v>
      </c>
      <c r="B7887" s="58" t="s">
        <v>9719</v>
      </c>
    </row>
    <row r="7888" spans="1:2" x14ac:dyDescent="0.25">
      <c r="A7888" s="57">
        <v>41116003</v>
      </c>
      <c r="B7888" s="58" t="s">
        <v>6652</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18129</v>
      </c>
    </row>
    <row r="7893" spans="1:2" x14ac:dyDescent="0.25">
      <c r="A7893" s="57">
        <v>41116008</v>
      </c>
      <c r="B7893" s="58" t="s">
        <v>16751</v>
      </c>
    </row>
    <row r="7894" spans="1:2" x14ac:dyDescent="0.25">
      <c r="A7894" s="57">
        <v>41116009</v>
      </c>
      <c r="B7894" s="58" t="s">
        <v>12851</v>
      </c>
    </row>
    <row r="7895" spans="1:2" x14ac:dyDescent="0.25">
      <c r="A7895" s="57">
        <v>41116010</v>
      </c>
      <c r="B7895" s="58" t="s">
        <v>14159</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14728</v>
      </c>
    </row>
    <row r="7902" spans="1:2" x14ac:dyDescent="0.25">
      <c r="A7902" s="57">
        <v>41116102</v>
      </c>
      <c r="B7902" s="58" t="s">
        <v>8622</v>
      </c>
    </row>
    <row r="7903" spans="1:2" x14ac:dyDescent="0.25">
      <c r="A7903" s="57">
        <v>41116103</v>
      </c>
      <c r="B7903" s="58" t="s">
        <v>10823</v>
      </c>
    </row>
    <row r="7904" spans="1:2" x14ac:dyDescent="0.25">
      <c r="A7904" s="57">
        <v>41116104</v>
      </c>
      <c r="B7904" s="58" t="s">
        <v>12796</v>
      </c>
    </row>
    <row r="7905" spans="1:2" x14ac:dyDescent="0.25">
      <c r="A7905" s="57">
        <v>41116105</v>
      </c>
      <c r="B7905" s="58" t="s">
        <v>4295</v>
      </c>
    </row>
    <row r="7906" spans="1:2" x14ac:dyDescent="0.25">
      <c r="A7906" s="57">
        <v>41116106</v>
      </c>
      <c r="B7906" s="58" t="s">
        <v>13128</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13488</v>
      </c>
    </row>
    <row r="7922" spans="1:2" x14ac:dyDescent="0.25">
      <c r="A7922" s="57">
        <v>41116124</v>
      </c>
      <c r="B7922" s="58" t="s">
        <v>18547</v>
      </c>
    </row>
    <row r="7923" spans="1:2" x14ac:dyDescent="0.25">
      <c r="A7923" s="57">
        <v>41116125</v>
      </c>
      <c r="B7923" s="58" t="s">
        <v>4381</v>
      </c>
    </row>
    <row r="7924" spans="1:2" x14ac:dyDescent="0.25">
      <c r="A7924" s="57">
        <v>41116126</v>
      </c>
      <c r="B7924" s="58" t="s">
        <v>14406</v>
      </c>
    </row>
    <row r="7925" spans="1:2" x14ac:dyDescent="0.25">
      <c r="A7925" s="57">
        <v>41116127</v>
      </c>
      <c r="B7925" s="58" t="s">
        <v>12313</v>
      </c>
    </row>
    <row r="7926" spans="1:2" x14ac:dyDescent="0.25">
      <c r="A7926" s="57">
        <v>41116128</v>
      </c>
      <c r="B7926" s="58" t="s">
        <v>15517</v>
      </c>
    </row>
    <row r="7927" spans="1:2" x14ac:dyDescent="0.25">
      <c r="A7927" s="57">
        <v>41116129</v>
      </c>
      <c r="B7927" s="58" t="s">
        <v>9191</v>
      </c>
    </row>
    <row r="7928" spans="1:2" x14ac:dyDescent="0.25">
      <c r="A7928" s="57">
        <v>41116130</v>
      </c>
      <c r="B7928" s="58" t="s">
        <v>13787</v>
      </c>
    </row>
    <row r="7929" spans="1:2" x14ac:dyDescent="0.25">
      <c r="A7929" s="57">
        <v>41116131</v>
      </c>
      <c r="B7929" s="58" t="s">
        <v>15732</v>
      </c>
    </row>
    <row r="7930" spans="1:2" x14ac:dyDescent="0.25">
      <c r="A7930" s="57">
        <v>41116132</v>
      </c>
      <c r="B7930" s="58" t="s">
        <v>3929</v>
      </c>
    </row>
    <row r="7931" spans="1:2" x14ac:dyDescent="0.25">
      <c r="A7931" s="57">
        <v>41116133</v>
      </c>
      <c r="B7931" s="58" t="s">
        <v>14393</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15017</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11584</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11866</v>
      </c>
    </row>
    <row r="7959" spans="1:2" x14ac:dyDescent="0.25">
      <c r="A7959" s="57">
        <v>41121506</v>
      </c>
      <c r="B7959" s="58" t="s">
        <v>11464</v>
      </c>
    </row>
    <row r="7960" spans="1:2" x14ac:dyDescent="0.25">
      <c r="A7960" s="57">
        <v>41121507</v>
      </c>
      <c r="B7960" s="58" t="s">
        <v>7237</v>
      </c>
    </row>
    <row r="7961" spans="1:2" x14ac:dyDescent="0.25">
      <c r="A7961" s="57">
        <v>41121508</v>
      </c>
      <c r="B7961" s="58" t="s">
        <v>14034</v>
      </c>
    </row>
    <row r="7962" spans="1:2" x14ac:dyDescent="0.25">
      <c r="A7962" s="57">
        <v>41121509</v>
      </c>
      <c r="B7962" s="58" t="s">
        <v>5370</v>
      </c>
    </row>
    <row r="7963" spans="1:2" x14ac:dyDescent="0.25">
      <c r="A7963" s="57">
        <v>41121510</v>
      </c>
      <c r="B7963" s="58" t="s">
        <v>14189</v>
      </c>
    </row>
    <row r="7964" spans="1:2" x14ac:dyDescent="0.25">
      <c r="A7964" s="57">
        <v>41121511</v>
      </c>
      <c r="B7964" s="58" t="s">
        <v>425</v>
      </c>
    </row>
    <row r="7965" spans="1:2" x14ac:dyDescent="0.25">
      <c r="A7965" s="57">
        <v>41121513</v>
      </c>
      <c r="B7965" s="58" t="s">
        <v>12989</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17568</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10662</v>
      </c>
    </row>
    <row r="7979" spans="1:2" x14ac:dyDescent="0.25">
      <c r="A7979" s="57">
        <v>41121701</v>
      </c>
      <c r="B7979" s="58" t="s">
        <v>3852</v>
      </c>
    </row>
    <row r="7980" spans="1:2" x14ac:dyDescent="0.25">
      <c r="A7980" s="57">
        <v>41121702</v>
      </c>
      <c r="B7980" s="58" t="s">
        <v>7666</v>
      </c>
    </row>
    <row r="7981" spans="1:2" x14ac:dyDescent="0.25">
      <c r="A7981" s="57">
        <v>41121703</v>
      </c>
      <c r="B7981" s="58" t="s">
        <v>10677</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11052</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17754</v>
      </c>
    </row>
    <row r="8007" spans="1:2" x14ac:dyDescent="0.25">
      <c r="A8007" s="57">
        <v>41122003</v>
      </c>
      <c r="B8007" s="58" t="s">
        <v>13375</v>
      </c>
    </row>
    <row r="8008" spans="1:2" x14ac:dyDescent="0.25">
      <c r="A8008" s="57">
        <v>41122004</v>
      </c>
      <c r="B8008" s="58" t="s">
        <v>12147</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6445</v>
      </c>
    </row>
    <row r="8016" spans="1:2" x14ac:dyDescent="0.25">
      <c r="A8016" s="57">
        <v>41122108</v>
      </c>
      <c r="B8016" s="58" t="s">
        <v>17421</v>
      </c>
    </row>
    <row r="8017" spans="1:2" x14ac:dyDescent="0.25">
      <c r="A8017" s="57">
        <v>41122109</v>
      </c>
      <c r="B8017" s="58" t="s">
        <v>7205</v>
      </c>
    </row>
    <row r="8018" spans="1:2" x14ac:dyDescent="0.25">
      <c r="A8018" s="57">
        <v>41122110</v>
      </c>
      <c r="B8018" s="58" t="s">
        <v>6174</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5929</v>
      </c>
    </row>
    <row r="8023" spans="1:2" x14ac:dyDescent="0.25">
      <c r="A8023" s="57">
        <v>41122401</v>
      </c>
      <c r="B8023" s="58" t="s">
        <v>248</v>
      </c>
    </row>
    <row r="8024" spans="1:2" x14ac:dyDescent="0.25">
      <c r="A8024" s="57">
        <v>41122402</v>
      </c>
      <c r="B8024" s="58" t="s">
        <v>3622</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14353</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14091</v>
      </c>
    </row>
    <row r="8044" spans="1:2" x14ac:dyDescent="0.25">
      <c r="A8044" s="57">
        <v>41122606</v>
      </c>
      <c r="B8044" s="58" t="s">
        <v>4444</v>
      </c>
    </row>
    <row r="8045" spans="1:2" x14ac:dyDescent="0.25">
      <c r="A8045" s="57">
        <v>41122701</v>
      </c>
      <c r="B8045" s="58" t="s">
        <v>8532</v>
      </c>
    </row>
    <row r="8046" spans="1:2" x14ac:dyDescent="0.25">
      <c r="A8046" s="57">
        <v>41122702</v>
      </c>
      <c r="B8046" s="58" t="s">
        <v>13642</v>
      </c>
    </row>
    <row r="8047" spans="1:2" x14ac:dyDescent="0.25">
      <c r="A8047" s="57">
        <v>41122703</v>
      </c>
      <c r="B8047" s="58" t="s">
        <v>8418</v>
      </c>
    </row>
    <row r="8048" spans="1:2" x14ac:dyDescent="0.25">
      <c r="A8048" s="57">
        <v>41122704</v>
      </c>
      <c r="B8048" s="58" t="s">
        <v>6023</v>
      </c>
    </row>
    <row r="8049" spans="1:2" x14ac:dyDescent="0.25">
      <c r="A8049" s="57">
        <v>41122801</v>
      </c>
      <c r="B8049" s="58" t="s">
        <v>12764</v>
      </c>
    </row>
    <row r="8050" spans="1:2" x14ac:dyDescent="0.25">
      <c r="A8050" s="57">
        <v>41122802</v>
      </c>
      <c r="B8050" s="58" t="s">
        <v>1060</v>
      </c>
    </row>
    <row r="8051" spans="1:2" x14ac:dyDescent="0.25">
      <c r="A8051" s="57">
        <v>41122803</v>
      </c>
      <c r="B8051" s="58" t="s">
        <v>8358</v>
      </c>
    </row>
    <row r="8052" spans="1:2" x14ac:dyDescent="0.25">
      <c r="A8052" s="57">
        <v>41122804</v>
      </c>
      <c r="B8052" s="58" t="s">
        <v>12325</v>
      </c>
    </row>
    <row r="8053" spans="1:2" x14ac:dyDescent="0.25">
      <c r="A8053" s="57">
        <v>41122805</v>
      </c>
      <c r="B8053" s="58" t="s">
        <v>9802</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17286</v>
      </c>
    </row>
    <row r="8060" spans="1:2" x14ac:dyDescent="0.25">
      <c r="A8060" s="57">
        <v>41123003</v>
      </c>
      <c r="B8060" s="58" t="s">
        <v>15144</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6208</v>
      </c>
    </row>
    <row r="8065" spans="1:2" x14ac:dyDescent="0.25">
      <c r="A8065" s="57">
        <v>41123202</v>
      </c>
      <c r="B8065" s="58" t="s">
        <v>12341</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9954</v>
      </c>
    </row>
    <row r="8075" spans="1:2" x14ac:dyDescent="0.25">
      <c r="A8075" s="57">
        <v>42121503</v>
      </c>
      <c r="B8075" s="58" t="s">
        <v>9906</v>
      </c>
    </row>
    <row r="8076" spans="1:2" x14ac:dyDescent="0.25">
      <c r="A8076" s="57">
        <v>42121504</v>
      </c>
      <c r="B8076" s="58" t="s">
        <v>17264</v>
      </c>
    </row>
    <row r="8077" spans="1:2" x14ac:dyDescent="0.25">
      <c r="A8077" s="57">
        <v>42121505</v>
      </c>
      <c r="B8077" s="58" t="s">
        <v>17303</v>
      </c>
    </row>
    <row r="8078" spans="1:2" x14ac:dyDescent="0.25">
      <c r="A8078" s="57">
        <v>42121506</v>
      </c>
      <c r="B8078" s="58" t="s">
        <v>443</v>
      </c>
    </row>
    <row r="8079" spans="1:2" x14ac:dyDescent="0.25">
      <c r="A8079" s="57">
        <v>42121507</v>
      </c>
      <c r="B8079" s="58" t="s">
        <v>6800</v>
      </c>
    </row>
    <row r="8080" spans="1:2" x14ac:dyDescent="0.25">
      <c r="A8080" s="57">
        <v>42121508</v>
      </c>
      <c r="B8080" s="58" t="s">
        <v>12418</v>
      </c>
    </row>
    <row r="8081" spans="1:2" x14ac:dyDescent="0.25">
      <c r="A8081" s="57">
        <v>42121509</v>
      </c>
      <c r="B8081" s="58" t="s">
        <v>8636</v>
      </c>
    </row>
    <row r="8082" spans="1:2" x14ac:dyDescent="0.25">
      <c r="A8082" s="57">
        <v>42121510</v>
      </c>
      <c r="B8082" s="58" t="s">
        <v>13211</v>
      </c>
    </row>
    <row r="8083" spans="1:2" x14ac:dyDescent="0.25">
      <c r="A8083" s="57">
        <v>42121511</v>
      </c>
      <c r="B8083" s="58" t="s">
        <v>6750</v>
      </c>
    </row>
    <row r="8084" spans="1:2" x14ac:dyDescent="0.25">
      <c r="A8084" s="57">
        <v>42121512</v>
      </c>
      <c r="B8084" s="58" t="s">
        <v>1363</v>
      </c>
    </row>
    <row r="8085" spans="1:2" x14ac:dyDescent="0.25">
      <c r="A8085" s="57">
        <v>42121513</v>
      </c>
      <c r="B8085" s="58" t="s">
        <v>14245</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13503</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11087</v>
      </c>
    </row>
    <row r="8115" spans="1:2" x14ac:dyDescent="0.25">
      <c r="A8115" s="57">
        <v>42131608</v>
      </c>
      <c r="B8115" s="58" t="s">
        <v>4814</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17508</v>
      </c>
    </row>
    <row r="8120" spans="1:2" x14ac:dyDescent="0.25">
      <c r="A8120" s="57">
        <v>42131613</v>
      </c>
      <c r="B8120" s="58" t="s">
        <v>17617</v>
      </c>
    </row>
    <row r="8121" spans="1:2" x14ac:dyDescent="0.25">
      <c r="A8121" s="57">
        <v>42131701</v>
      </c>
      <c r="B8121" s="58" t="s">
        <v>9805</v>
      </c>
    </row>
    <row r="8122" spans="1:2" x14ac:dyDescent="0.25">
      <c r="A8122" s="57">
        <v>42131702</v>
      </c>
      <c r="B8122" s="58" t="s">
        <v>6949</v>
      </c>
    </row>
    <row r="8123" spans="1:2" x14ac:dyDescent="0.25">
      <c r="A8123" s="57">
        <v>42131703</v>
      </c>
      <c r="B8123" s="58" t="s">
        <v>2280</v>
      </c>
    </row>
    <row r="8124" spans="1:2" x14ac:dyDescent="0.25">
      <c r="A8124" s="57">
        <v>42131704</v>
      </c>
      <c r="B8124" s="58" t="s">
        <v>12831</v>
      </c>
    </row>
    <row r="8125" spans="1:2" x14ac:dyDescent="0.25">
      <c r="A8125" s="57">
        <v>42131705</v>
      </c>
      <c r="B8125" s="58" t="s">
        <v>4284</v>
      </c>
    </row>
    <row r="8126" spans="1:2" x14ac:dyDescent="0.25">
      <c r="A8126" s="57">
        <v>42131706</v>
      </c>
      <c r="B8126" s="58" t="s">
        <v>16857</v>
      </c>
    </row>
    <row r="8127" spans="1:2" x14ac:dyDescent="0.25">
      <c r="A8127" s="57">
        <v>42131707</v>
      </c>
      <c r="B8127" s="58" t="s">
        <v>6007</v>
      </c>
    </row>
    <row r="8128" spans="1:2" x14ac:dyDescent="0.25">
      <c r="A8128" s="57">
        <v>42132101</v>
      </c>
      <c r="B8128" s="58" t="s">
        <v>7001</v>
      </c>
    </row>
    <row r="8129" spans="1:2" x14ac:dyDescent="0.25">
      <c r="A8129" s="57">
        <v>42132102</v>
      </c>
      <c r="B8129" s="58" t="s">
        <v>10684</v>
      </c>
    </row>
    <row r="8130" spans="1:2" x14ac:dyDescent="0.25">
      <c r="A8130" s="57">
        <v>42132103</v>
      </c>
      <c r="B8130" s="58" t="s">
        <v>13701</v>
      </c>
    </row>
    <row r="8131" spans="1:2" x14ac:dyDescent="0.25">
      <c r="A8131" s="57">
        <v>42132104</v>
      </c>
      <c r="B8131" s="58" t="s">
        <v>7307</v>
      </c>
    </row>
    <row r="8132" spans="1:2" x14ac:dyDescent="0.25">
      <c r="A8132" s="57">
        <v>42132105</v>
      </c>
      <c r="B8132" s="58" t="s">
        <v>14252</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17359</v>
      </c>
    </row>
    <row r="8139" spans="1:2" x14ac:dyDescent="0.25">
      <c r="A8139" s="57">
        <v>42132204</v>
      </c>
      <c r="B8139" s="58" t="s">
        <v>1787</v>
      </c>
    </row>
    <row r="8140" spans="1:2" x14ac:dyDescent="0.25">
      <c r="A8140" s="57">
        <v>42132205</v>
      </c>
      <c r="B8140" s="58" t="s">
        <v>11190</v>
      </c>
    </row>
    <row r="8141" spans="1:2" x14ac:dyDescent="0.25">
      <c r="A8141" s="57">
        <v>42141501</v>
      </c>
      <c r="B8141" s="58" t="s">
        <v>17764</v>
      </c>
    </row>
    <row r="8142" spans="1:2" x14ac:dyDescent="0.25">
      <c r="A8142" s="57">
        <v>42141502</v>
      </c>
      <c r="B8142" s="58" t="s">
        <v>5874</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13877</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13396</v>
      </c>
    </row>
    <row r="8153" spans="1:2" x14ac:dyDescent="0.25">
      <c r="A8153" s="57">
        <v>42141702</v>
      </c>
      <c r="B8153" s="58" t="s">
        <v>5894</v>
      </c>
    </row>
    <row r="8154" spans="1:2" x14ac:dyDescent="0.25">
      <c r="A8154" s="57">
        <v>42141703</v>
      </c>
      <c r="B8154" s="58" t="s">
        <v>18174</v>
      </c>
    </row>
    <row r="8155" spans="1:2" x14ac:dyDescent="0.25">
      <c r="A8155" s="57">
        <v>42141704</v>
      </c>
      <c r="B8155" s="58" t="s">
        <v>17720</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6164</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10461</v>
      </c>
    </row>
    <row r="8167" spans="1:2" x14ac:dyDescent="0.25">
      <c r="A8167" s="57">
        <v>42141902</v>
      </c>
      <c r="B8167" s="58" t="s">
        <v>7787</v>
      </c>
    </row>
    <row r="8168" spans="1:2" x14ac:dyDescent="0.25">
      <c r="A8168" s="57">
        <v>42141903</v>
      </c>
      <c r="B8168" s="58" t="s">
        <v>13353</v>
      </c>
    </row>
    <row r="8169" spans="1:2" x14ac:dyDescent="0.25">
      <c r="A8169" s="57">
        <v>42141904</v>
      </c>
      <c r="B8169" s="58" t="s">
        <v>13555</v>
      </c>
    </row>
    <row r="8170" spans="1:2" x14ac:dyDescent="0.25">
      <c r="A8170" s="57">
        <v>42141905</v>
      </c>
      <c r="B8170" s="58" t="s">
        <v>12305</v>
      </c>
    </row>
    <row r="8171" spans="1:2" x14ac:dyDescent="0.25">
      <c r="A8171" s="57">
        <v>42142001</v>
      </c>
      <c r="B8171" s="58" t="s">
        <v>15497</v>
      </c>
    </row>
    <row r="8172" spans="1:2" x14ac:dyDescent="0.25">
      <c r="A8172" s="57">
        <v>42142002</v>
      </c>
      <c r="B8172" s="58" t="s">
        <v>12445</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8228</v>
      </c>
    </row>
    <row r="8182" spans="1:2" x14ac:dyDescent="0.25">
      <c r="A8182" s="57">
        <v>42142105</v>
      </c>
      <c r="B8182" s="58" t="s">
        <v>9925</v>
      </c>
    </row>
    <row r="8183" spans="1:2" x14ac:dyDescent="0.25">
      <c r="A8183" s="57">
        <v>42142106</v>
      </c>
      <c r="B8183" s="58" t="s">
        <v>16673</v>
      </c>
    </row>
    <row r="8184" spans="1:2" x14ac:dyDescent="0.25">
      <c r="A8184" s="57">
        <v>42142107</v>
      </c>
      <c r="B8184" s="58" t="s">
        <v>9300</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4931</v>
      </c>
    </row>
    <row r="8189" spans="1:2" x14ac:dyDescent="0.25">
      <c r="A8189" s="57">
        <v>42142112</v>
      </c>
      <c r="B8189" s="58" t="s">
        <v>6980</v>
      </c>
    </row>
    <row r="8190" spans="1:2" x14ac:dyDescent="0.25">
      <c r="A8190" s="57">
        <v>42142113</v>
      </c>
      <c r="B8190" s="58" t="s">
        <v>10719</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14485</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13664</v>
      </c>
    </row>
    <row r="8200" spans="1:2" x14ac:dyDescent="0.25">
      <c r="A8200" s="57">
        <v>42142401</v>
      </c>
      <c r="B8200" s="58" t="s">
        <v>15289</v>
      </c>
    </row>
    <row r="8201" spans="1:2" x14ac:dyDescent="0.25">
      <c r="A8201" s="57">
        <v>42142402</v>
      </c>
      <c r="B8201" s="58" t="s">
        <v>17255</v>
      </c>
    </row>
    <row r="8202" spans="1:2" x14ac:dyDescent="0.25">
      <c r="A8202" s="57">
        <v>42142403</v>
      </c>
      <c r="B8202" s="58" t="s">
        <v>11396</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7515</v>
      </c>
    </row>
    <row r="8211" spans="1:2" x14ac:dyDescent="0.25">
      <c r="A8211" s="57">
        <v>42142505</v>
      </c>
      <c r="B8211" s="58" t="s">
        <v>14705</v>
      </c>
    </row>
    <row r="8212" spans="1:2" x14ac:dyDescent="0.25">
      <c r="A8212" s="57">
        <v>42142506</v>
      </c>
      <c r="B8212" s="58" t="s">
        <v>17290</v>
      </c>
    </row>
    <row r="8213" spans="1:2" x14ac:dyDescent="0.25">
      <c r="A8213" s="57">
        <v>42142507</v>
      </c>
      <c r="B8213" s="58" t="s">
        <v>17702</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12653</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14937</v>
      </c>
    </row>
    <row r="8229" spans="1:2" x14ac:dyDescent="0.25">
      <c r="A8229" s="57">
        <v>42142524</v>
      </c>
      <c r="B8229" s="58" t="s">
        <v>9800</v>
      </c>
    </row>
    <row r="8230" spans="1:2" x14ac:dyDescent="0.25">
      <c r="A8230" s="57">
        <v>42142525</v>
      </c>
      <c r="B8230" s="58" t="s">
        <v>6683</v>
      </c>
    </row>
    <row r="8231" spans="1:2" x14ac:dyDescent="0.25">
      <c r="A8231" s="57">
        <v>42142526</v>
      </c>
      <c r="B8231" s="58" t="s">
        <v>10434</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11168</v>
      </c>
    </row>
    <row r="8236" spans="1:2" x14ac:dyDescent="0.25">
      <c r="A8236" s="57">
        <v>42142531</v>
      </c>
      <c r="B8236" s="58" t="s">
        <v>7799</v>
      </c>
    </row>
    <row r="8237" spans="1:2" x14ac:dyDescent="0.25">
      <c r="A8237" s="57">
        <v>42142532</v>
      </c>
      <c r="B8237" s="58" t="s">
        <v>13392</v>
      </c>
    </row>
    <row r="8238" spans="1:2" x14ac:dyDescent="0.25">
      <c r="A8238" s="57">
        <v>42142601</v>
      </c>
      <c r="B8238" s="58" t="s">
        <v>6054</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12640</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17414</v>
      </c>
    </row>
    <row r="8264" spans="1:2" x14ac:dyDescent="0.25">
      <c r="A8264" s="57">
        <v>42142709</v>
      </c>
      <c r="B8264" s="58" t="s">
        <v>6505</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10546</v>
      </c>
    </row>
    <row r="8276" spans="1:2" x14ac:dyDescent="0.25">
      <c r="A8276" s="57">
        <v>42142903</v>
      </c>
      <c r="B8276" s="58" t="s">
        <v>17378</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14329</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17473</v>
      </c>
    </row>
    <row r="8296" spans="1:2" x14ac:dyDescent="0.25">
      <c r="A8296" s="57">
        <v>42143401</v>
      </c>
      <c r="B8296" s="58" t="s">
        <v>6097</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3543</v>
      </c>
    </row>
    <row r="8308" spans="1:2" x14ac:dyDescent="0.25">
      <c r="A8308" s="57">
        <v>42143512</v>
      </c>
      <c r="B8308" s="58" t="s">
        <v>18755</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13102</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12591</v>
      </c>
    </row>
    <row r="8320" spans="1:2" x14ac:dyDescent="0.25">
      <c r="A8320" s="57">
        <v>42151503</v>
      </c>
      <c r="B8320" s="58" t="s">
        <v>807</v>
      </c>
    </row>
    <row r="8321" spans="1:2" x14ac:dyDescent="0.25">
      <c r="A8321" s="57">
        <v>42151504</v>
      </c>
      <c r="B8321" s="58" t="s">
        <v>17371</v>
      </c>
    </row>
    <row r="8322" spans="1:2" x14ac:dyDescent="0.25">
      <c r="A8322" s="57">
        <v>42151505</v>
      </c>
      <c r="B8322" s="58" t="s">
        <v>2064</v>
      </c>
    </row>
    <row r="8323" spans="1:2" x14ac:dyDescent="0.25">
      <c r="A8323" s="57">
        <v>42151506</v>
      </c>
      <c r="B8323" s="58" t="s">
        <v>6476</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12626</v>
      </c>
    </row>
    <row r="8328" spans="1:2" x14ac:dyDescent="0.25">
      <c r="A8328" s="57">
        <v>42151604</v>
      </c>
      <c r="B8328" s="58" t="s">
        <v>8771</v>
      </c>
    </row>
    <row r="8329" spans="1:2" x14ac:dyDescent="0.25">
      <c r="A8329" s="57">
        <v>42151605</v>
      </c>
      <c r="B8329" s="58" t="s">
        <v>13890</v>
      </c>
    </row>
    <row r="8330" spans="1:2" x14ac:dyDescent="0.25">
      <c r="A8330" s="57">
        <v>42151606</v>
      </c>
      <c r="B8330" s="58" t="s">
        <v>6570</v>
      </c>
    </row>
    <row r="8331" spans="1:2" x14ac:dyDescent="0.25">
      <c r="A8331" s="57">
        <v>42151607</v>
      </c>
      <c r="B8331" s="58" t="s">
        <v>1972</v>
      </c>
    </row>
    <row r="8332" spans="1:2" x14ac:dyDescent="0.25">
      <c r="A8332" s="57">
        <v>42151608</v>
      </c>
      <c r="B8332" s="58" t="s">
        <v>11744</v>
      </c>
    </row>
    <row r="8333" spans="1:2" x14ac:dyDescent="0.25">
      <c r="A8333" s="57">
        <v>42151609</v>
      </c>
      <c r="B8333" s="58" t="s">
        <v>14569</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17464</v>
      </c>
    </row>
    <row r="8345" spans="1:2" x14ac:dyDescent="0.25">
      <c r="A8345" s="57">
        <v>42151621</v>
      </c>
      <c r="B8345" s="58" t="s">
        <v>6292</v>
      </c>
    </row>
    <row r="8346" spans="1:2" x14ac:dyDescent="0.25">
      <c r="A8346" s="57">
        <v>42151622</v>
      </c>
      <c r="B8346" s="58" t="s">
        <v>13008</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13146</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12160</v>
      </c>
    </row>
    <row r="8361" spans="1:2" x14ac:dyDescent="0.25">
      <c r="A8361" s="57">
        <v>42151637</v>
      </c>
      <c r="B8361" s="58" t="s">
        <v>15418</v>
      </c>
    </row>
    <row r="8362" spans="1:2" x14ac:dyDescent="0.25">
      <c r="A8362" s="57">
        <v>42151638</v>
      </c>
      <c r="B8362" s="58" t="s">
        <v>10861</v>
      </c>
    </row>
    <row r="8363" spans="1:2" x14ac:dyDescent="0.25">
      <c r="A8363" s="57">
        <v>42151639</v>
      </c>
      <c r="B8363" s="58" t="s">
        <v>9538</v>
      </c>
    </row>
    <row r="8364" spans="1:2" x14ac:dyDescent="0.25">
      <c r="A8364" s="57">
        <v>42151640</v>
      </c>
      <c r="B8364" s="58" t="s">
        <v>17233</v>
      </c>
    </row>
    <row r="8365" spans="1:2" x14ac:dyDescent="0.25">
      <c r="A8365" s="57">
        <v>42151641</v>
      </c>
      <c r="B8365" s="58" t="s">
        <v>15316</v>
      </c>
    </row>
    <row r="8366" spans="1:2" x14ac:dyDescent="0.25">
      <c r="A8366" s="57">
        <v>42151642</v>
      </c>
      <c r="B8366" s="58" t="s">
        <v>1292</v>
      </c>
    </row>
    <row r="8367" spans="1:2" x14ac:dyDescent="0.25">
      <c r="A8367" s="57">
        <v>42151643</v>
      </c>
      <c r="B8367" s="58" t="s">
        <v>11574</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5990</v>
      </c>
    </row>
    <row r="8380" spans="1:2" x14ac:dyDescent="0.25">
      <c r="A8380" s="57">
        <v>42151657</v>
      </c>
      <c r="B8380" s="58" t="s">
        <v>17324</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3824</v>
      </c>
    </row>
    <row r="8388" spans="1:2" x14ac:dyDescent="0.25">
      <c r="A8388" s="57">
        <v>42151665</v>
      </c>
      <c r="B8388" s="58" t="s">
        <v>5183</v>
      </c>
    </row>
    <row r="8389" spans="1:2" x14ac:dyDescent="0.25">
      <c r="A8389" s="57">
        <v>42151666</v>
      </c>
      <c r="B8389" s="58" t="s">
        <v>11825</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14447</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15985</v>
      </c>
    </row>
    <row r="8398" spans="1:2" x14ac:dyDescent="0.25">
      <c r="A8398" s="57">
        <v>42151675</v>
      </c>
      <c r="B8398" s="58" t="s">
        <v>4307</v>
      </c>
    </row>
    <row r="8399" spans="1:2" x14ac:dyDescent="0.25">
      <c r="A8399" s="57">
        <v>42151676</v>
      </c>
      <c r="B8399" s="58" t="s">
        <v>13963</v>
      </c>
    </row>
    <row r="8400" spans="1:2" x14ac:dyDescent="0.25">
      <c r="A8400" s="57">
        <v>42151677</v>
      </c>
      <c r="B8400" s="58" t="s">
        <v>8731</v>
      </c>
    </row>
    <row r="8401" spans="1:2" x14ac:dyDescent="0.25">
      <c r="A8401" s="57">
        <v>42151678</v>
      </c>
      <c r="B8401" s="58" t="s">
        <v>3642</v>
      </c>
    </row>
    <row r="8402" spans="1:2" x14ac:dyDescent="0.25">
      <c r="A8402" s="57">
        <v>42151679</v>
      </c>
      <c r="B8402" s="58" t="s">
        <v>11201</v>
      </c>
    </row>
    <row r="8403" spans="1:2" x14ac:dyDescent="0.25">
      <c r="A8403" s="57">
        <v>42151680</v>
      </c>
      <c r="B8403" s="58" t="s">
        <v>17763</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18639</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8323</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5954</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5082</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17417</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17542</v>
      </c>
    </row>
    <row r="8447" spans="1:2" x14ac:dyDescent="0.25">
      <c r="A8447" s="57">
        <v>42152010</v>
      </c>
      <c r="B8447" s="58" t="s">
        <v>2007</v>
      </c>
    </row>
    <row r="8448" spans="1:2" x14ac:dyDescent="0.25">
      <c r="A8448" s="57">
        <v>42152011</v>
      </c>
      <c r="B8448" s="58" t="s">
        <v>4401</v>
      </c>
    </row>
    <row r="8449" spans="1:2" x14ac:dyDescent="0.25">
      <c r="A8449" s="57">
        <v>42152012</v>
      </c>
      <c r="B8449" s="58" t="s">
        <v>17375</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13491</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14505</v>
      </c>
    </row>
    <row r="8464" spans="1:2" x14ac:dyDescent="0.25">
      <c r="A8464" s="57">
        <v>42152113</v>
      </c>
      <c r="B8464" s="58" t="s">
        <v>10761</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12933</v>
      </c>
    </row>
    <row r="8470" spans="1:2" x14ac:dyDescent="0.25">
      <c r="A8470" s="57">
        <v>42152204</v>
      </c>
      <c r="B8470" s="58" t="s">
        <v>12544</v>
      </c>
    </row>
    <row r="8471" spans="1:2" x14ac:dyDescent="0.25">
      <c r="A8471" s="57">
        <v>42152205</v>
      </c>
      <c r="B8471" s="58" t="s">
        <v>18548</v>
      </c>
    </row>
    <row r="8472" spans="1:2" x14ac:dyDescent="0.25">
      <c r="A8472" s="57">
        <v>42152206</v>
      </c>
      <c r="B8472" s="58" t="s">
        <v>10752</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11694</v>
      </c>
    </row>
    <row r="8477" spans="1:2" x14ac:dyDescent="0.25">
      <c r="A8477" s="57">
        <v>42152211</v>
      </c>
      <c r="B8477" s="58" t="s">
        <v>16338</v>
      </c>
    </row>
    <row r="8478" spans="1:2" x14ac:dyDescent="0.25">
      <c r="A8478" s="57">
        <v>42152212</v>
      </c>
      <c r="B8478" s="58" t="s">
        <v>17532</v>
      </c>
    </row>
    <row r="8479" spans="1:2" x14ac:dyDescent="0.25">
      <c r="A8479" s="57">
        <v>42152213</v>
      </c>
      <c r="B8479" s="58" t="s">
        <v>11664</v>
      </c>
    </row>
    <row r="8480" spans="1:2" x14ac:dyDescent="0.25">
      <c r="A8480" s="57">
        <v>42152214</v>
      </c>
      <c r="B8480" s="58" t="s">
        <v>18499</v>
      </c>
    </row>
    <row r="8481" spans="1:2" x14ac:dyDescent="0.25">
      <c r="A8481" s="57">
        <v>42152215</v>
      </c>
      <c r="B8481" s="58" t="s">
        <v>13309</v>
      </c>
    </row>
    <row r="8482" spans="1:2" x14ac:dyDescent="0.25">
      <c r="A8482" s="57">
        <v>42152216</v>
      </c>
      <c r="B8482" s="58" t="s">
        <v>1082</v>
      </c>
    </row>
    <row r="8483" spans="1:2" x14ac:dyDescent="0.25">
      <c r="A8483" s="57">
        <v>42152217</v>
      </c>
      <c r="B8483" s="58" t="s">
        <v>12838</v>
      </c>
    </row>
    <row r="8484" spans="1:2" x14ac:dyDescent="0.25">
      <c r="A8484" s="57">
        <v>42152218</v>
      </c>
      <c r="B8484" s="58" t="s">
        <v>9168</v>
      </c>
    </row>
    <row r="8485" spans="1:2" x14ac:dyDescent="0.25">
      <c r="A8485" s="57">
        <v>42152219</v>
      </c>
      <c r="B8485" s="58" t="s">
        <v>13058</v>
      </c>
    </row>
    <row r="8486" spans="1:2" x14ac:dyDescent="0.25">
      <c r="A8486" s="57">
        <v>42152220</v>
      </c>
      <c r="B8486" s="58" t="s">
        <v>12426</v>
      </c>
    </row>
    <row r="8487" spans="1:2" x14ac:dyDescent="0.25">
      <c r="A8487" s="57">
        <v>42152221</v>
      </c>
      <c r="B8487" s="58" t="s">
        <v>16645</v>
      </c>
    </row>
    <row r="8488" spans="1:2" x14ac:dyDescent="0.25">
      <c r="A8488" s="57">
        <v>42152222</v>
      </c>
      <c r="B8488" s="58" t="s">
        <v>13724</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2687</v>
      </c>
    </row>
    <row r="8499" spans="1:2" x14ac:dyDescent="0.25">
      <c r="A8499" s="57">
        <v>42152402</v>
      </c>
      <c r="B8499" s="58" t="s">
        <v>5937</v>
      </c>
    </row>
    <row r="8500" spans="1:2" x14ac:dyDescent="0.25">
      <c r="A8500" s="57">
        <v>42152403</v>
      </c>
      <c r="B8500" s="58" t="s">
        <v>18450</v>
      </c>
    </row>
    <row r="8501" spans="1:2" x14ac:dyDescent="0.25">
      <c r="A8501" s="57">
        <v>42152404</v>
      </c>
      <c r="B8501" s="58" t="s">
        <v>10005</v>
      </c>
    </row>
    <row r="8502" spans="1:2" x14ac:dyDescent="0.25">
      <c r="A8502" s="57">
        <v>42152405</v>
      </c>
      <c r="B8502" s="58" t="s">
        <v>8143</v>
      </c>
    </row>
    <row r="8503" spans="1:2" x14ac:dyDescent="0.25">
      <c r="A8503" s="57">
        <v>42152406</v>
      </c>
      <c r="B8503" s="58" t="s">
        <v>2038</v>
      </c>
    </row>
    <row r="8504" spans="1:2" x14ac:dyDescent="0.25">
      <c r="A8504" s="57">
        <v>42152407</v>
      </c>
      <c r="B8504" s="58" t="s">
        <v>14670</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11886</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6143</v>
      </c>
    </row>
    <row r="8518" spans="1:2" x14ac:dyDescent="0.25">
      <c r="A8518" s="57">
        <v>42152421</v>
      </c>
      <c r="B8518" s="58" t="s">
        <v>17143</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5849</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6033</v>
      </c>
    </row>
    <row r="8532" spans="1:2" x14ac:dyDescent="0.25">
      <c r="A8532" s="57">
        <v>42152435</v>
      </c>
      <c r="B8532" s="58" t="s">
        <v>7957</v>
      </c>
    </row>
    <row r="8533" spans="1:2" x14ac:dyDescent="0.25">
      <c r="A8533" s="57">
        <v>42152436</v>
      </c>
      <c r="B8533" s="58" t="s">
        <v>4994</v>
      </c>
    </row>
    <row r="8534" spans="1:2" x14ac:dyDescent="0.25">
      <c r="A8534" s="57">
        <v>42152437</v>
      </c>
      <c r="B8534" s="58" t="s">
        <v>13561</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17297</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6403</v>
      </c>
    </row>
    <row r="8547" spans="1:2" x14ac:dyDescent="0.25">
      <c r="A8547" s="57">
        <v>42152451</v>
      </c>
      <c r="B8547" s="58" t="s">
        <v>3332</v>
      </c>
    </row>
    <row r="8548" spans="1:2" x14ac:dyDescent="0.25">
      <c r="A8548" s="57">
        <v>42152452</v>
      </c>
      <c r="B8548" s="58" t="s">
        <v>5841</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11865</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10120</v>
      </c>
    </row>
    <row r="8563" spans="1:2" x14ac:dyDescent="0.25">
      <c r="A8563" s="57">
        <v>42152502</v>
      </c>
      <c r="B8563" s="58" t="s">
        <v>10179</v>
      </c>
    </row>
    <row r="8564" spans="1:2" x14ac:dyDescent="0.25">
      <c r="A8564" s="57">
        <v>42152503</v>
      </c>
      <c r="B8564" s="58" t="s">
        <v>8305</v>
      </c>
    </row>
    <row r="8565" spans="1:2" x14ac:dyDescent="0.25">
      <c r="A8565" s="57">
        <v>42152504</v>
      </c>
      <c r="B8565" s="58" t="s">
        <v>17806</v>
      </c>
    </row>
    <row r="8566" spans="1:2" x14ac:dyDescent="0.25">
      <c r="A8566" s="57">
        <v>42152505</v>
      </c>
      <c r="B8566" s="58" t="s">
        <v>17381</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8991</v>
      </c>
    </row>
    <row r="8574" spans="1:2" x14ac:dyDescent="0.25">
      <c r="A8574" s="57">
        <v>42152513</v>
      </c>
      <c r="B8574" s="58" t="s">
        <v>17244</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6490</v>
      </c>
    </row>
    <row r="8580" spans="1:2" x14ac:dyDescent="0.25">
      <c r="A8580" s="57">
        <v>42152520</v>
      </c>
      <c r="B8580" s="58" t="s">
        <v>9687</v>
      </c>
    </row>
    <row r="8581" spans="1:2" x14ac:dyDescent="0.25">
      <c r="A8581" s="57">
        <v>42152601</v>
      </c>
      <c r="B8581" s="58" t="s">
        <v>16369</v>
      </c>
    </row>
    <row r="8582" spans="1:2" x14ac:dyDescent="0.25">
      <c r="A8582" s="57">
        <v>42152602</v>
      </c>
      <c r="B8582" s="58" t="s">
        <v>17883</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17610</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12009</v>
      </c>
    </row>
    <row r="8607" spans="1:2" x14ac:dyDescent="0.25">
      <c r="A8607" s="57">
        <v>42152803</v>
      </c>
      <c r="B8607" s="58" t="s">
        <v>4482</v>
      </c>
    </row>
    <row r="8608" spans="1:2" x14ac:dyDescent="0.25">
      <c r="A8608" s="57">
        <v>42152804</v>
      </c>
      <c r="B8608" s="58" t="s">
        <v>10847</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11281</v>
      </c>
    </row>
    <row r="8613" spans="1:2" x14ac:dyDescent="0.25">
      <c r="A8613" s="57">
        <v>42152809</v>
      </c>
      <c r="B8613" s="58" t="s">
        <v>11705</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15269</v>
      </c>
    </row>
    <row r="8622" spans="1:2" x14ac:dyDescent="0.25">
      <c r="A8622" s="57">
        <v>42161508</v>
      </c>
      <c r="B8622" s="58" t="s">
        <v>11797</v>
      </c>
    </row>
    <row r="8623" spans="1:2" x14ac:dyDescent="0.25">
      <c r="A8623" s="57">
        <v>42161509</v>
      </c>
      <c r="B8623" s="58" t="s">
        <v>5855</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17446</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17651</v>
      </c>
    </row>
    <row r="8635" spans="1:2" x14ac:dyDescent="0.25">
      <c r="A8635" s="57">
        <v>42161611</v>
      </c>
      <c r="B8635" s="58" t="s">
        <v>6633</v>
      </c>
    </row>
    <row r="8636" spans="1:2" x14ac:dyDescent="0.25">
      <c r="A8636" s="57">
        <v>42161612</v>
      </c>
      <c r="B8636" s="58" t="s">
        <v>14679</v>
      </c>
    </row>
    <row r="8637" spans="1:2" x14ac:dyDescent="0.25">
      <c r="A8637" s="57">
        <v>42161613</v>
      </c>
      <c r="B8637" s="58" t="s">
        <v>7936</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12193</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12053</v>
      </c>
    </row>
    <row r="8650" spans="1:2" x14ac:dyDescent="0.25">
      <c r="A8650" s="57">
        <v>42161626</v>
      </c>
      <c r="B8650" s="58" t="s">
        <v>7476</v>
      </c>
    </row>
    <row r="8651" spans="1:2" x14ac:dyDescent="0.25">
      <c r="A8651" s="57">
        <v>42161627</v>
      </c>
      <c r="B8651" s="58" t="s">
        <v>13711</v>
      </c>
    </row>
    <row r="8652" spans="1:2" x14ac:dyDescent="0.25">
      <c r="A8652" s="57">
        <v>42161628</v>
      </c>
      <c r="B8652" s="58" t="s">
        <v>11012</v>
      </c>
    </row>
    <row r="8653" spans="1:2" x14ac:dyDescent="0.25">
      <c r="A8653" s="57">
        <v>42161629</v>
      </c>
      <c r="B8653" s="58" t="s">
        <v>16904</v>
      </c>
    </row>
    <row r="8654" spans="1:2" x14ac:dyDescent="0.25">
      <c r="A8654" s="57">
        <v>42161630</v>
      </c>
      <c r="B8654" s="58" t="s">
        <v>4520</v>
      </c>
    </row>
    <row r="8655" spans="1:2" x14ac:dyDescent="0.25">
      <c r="A8655" s="57">
        <v>42161631</v>
      </c>
      <c r="B8655" s="58" t="s">
        <v>9924</v>
      </c>
    </row>
    <row r="8656" spans="1:2" x14ac:dyDescent="0.25">
      <c r="A8656" s="57">
        <v>42161632</v>
      </c>
      <c r="B8656" s="58" t="s">
        <v>6130</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10203</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13456</v>
      </c>
    </row>
    <row r="8676" spans="1:2" x14ac:dyDescent="0.25">
      <c r="A8676" s="57">
        <v>42171607</v>
      </c>
      <c r="B8676" s="58" t="s">
        <v>11836</v>
      </c>
    </row>
    <row r="8677" spans="1:2" x14ac:dyDescent="0.25">
      <c r="A8677" s="57">
        <v>42171608</v>
      </c>
      <c r="B8677" s="58" t="s">
        <v>5907</v>
      </c>
    </row>
    <row r="8678" spans="1:2" x14ac:dyDescent="0.25">
      <c r="A8678" s="57">
        <v>42171609</v>
      </c>
      <c r="B8678" s="58" t="s">
        <v>12276</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13689</v>
      </c>
    </row>
    <row r="8684" spans="1:2" x14ac:dyDescent="0.25">
      <c r="A8684" s="57">
        <v>42171701</v>
      </c>
      <c r="B8684" s="58" t="s">
        <v>5741</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6034</v>
      </c>
    </row>
    <row r="8691" spans="1:2" x14ac:dyDescent="0.25">
      <c r="A8691" s="57">
        <v>42171804</v>
      </c>
      <c r="B8691" s="58" t="s">
        <v>14167</v>
      </c>
    </row>
    <row r="8692" spans="1:2" x14ac:dyDescent="0.25">
      <c r="A8692" s="57">
        <v>42171805</v>
      </c>
      <c r="B8692" s="58" t="s">
        <v>2022</v>
      </c>
    </row>
    <row r="8693" spans="1:2" x14ac:dyDescent="0.25">
      <c r="A8693" s="57">
        <v>42171806</v>
      </c>
      <c r="B8693" s="58" t="s">
        <v>12548</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14540</v>
      </c>
    </row>
    <row r="8698" spans="1:2" x14ac:dyDescent="0.25">
      <c r="A8698" s="57">
        <v>42171905</v>
      </c>
      <c r="B8698" s="58" t="s">
        <v>11065</v>
      </c>
    </row>
    <row r="8699" spans="1:2" x14ac:dyDescent="0.25">
      <c r="A8699" s="57">
        <v>42171906</v>
      </c>
      <c r="B8699" s="58" t="s">
        <v>9382</v>
      </c>
    </row>
    <row r="8700" spans="1:2" x14ac:dyDescent="0.25">
      <c r="A8700" s="57">
        <v>42171907</v>
      </c>
      <c r="B8700" s="58" t="s">
        <v>5639</v>
      </c>
    </row>
    <row r="8701" spans="1:2" x14ac:dyDescent="0.25">
      <c r="A8701" s="57">
        <v>42171908</v>
      </c>
      <c r="B8701" s="58" t="s">
        <v>12183</v>
      </c>
    </row>
    <row r="8702" spans="1:2" x14ac:dyDescent="0.25">
      <c r="A8702" s="57">
        <v>42171909</v>
      </c>
      <c r="B8702" s="58" t="s">
        <v>18414</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12157</v>
      </c>
    </row>
    <row r="8709" spans="1:2" x14ac:dyDescent="0.25">
      <c r="A8709" s="57">
        <v>42171916</v>
      </c>
      <c r="B8709" s="58" t="s">
        <v>7112</v>
      </c>
    </row>
    <row r="8710" spans="1:2" x14ac:dyDescent="0.25">
      <c r="A8710" s="57">
        <v>42171917</v>
      </c>
      <c r="B8710" s="58" t="s">
        <v>12423</v>
      </c>
    </row>
    <row r="8711" spans="1:2" x14ac:dyDescent="0.25">
      <c r="A8711" s="57">
        <v>42171918</v>
      </c>
      <c r="B8711" s="58" t="s">
        <v>6881</v>
      </c>
    </row>
    <row r="8712" spans="1:2" x14ac:dyDescent="0.25">
      <c r="A8712" s="57">
        <v>42171919</v>
      </c>
      <c r="B8712" s="58" t="s">
        <v>17811</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12479</v>
      </c>
    </row>
    <row r="8718" spans="1:2" x14ac:dyDescent="0.25">
      <c r="A8718" s="57">
        <v>42172005</v>
      </c>
      <c r="B8718" s="58" t="s">
        <v>6508</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13940</v>
      </c>
    </row>
    <row r="8726" spans="1:2" x14ac:dyDescent="0.25">
      <c r="A8726" s="57">
        <v>42172013</v>
      </c>
      <c r="B8726" s="58" t="s">
        <v>9335</v>
      </c>
    </row>
    <row r="8727" spans="1:2" x14ac:dyDescent="0.25">
      <c r="A8727" s="57">
        <v>42172014</v>
      </c>
      <c r="B8727" s="58" t="s">
        <v>11214</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6830</v>
      </c>
    </row>
    <row r="8741" spans="1:2" x14ac:dyDescent="0.25">
      <c r="A8741" s="57">
        <v>42181507</v>
      </c>
      <c r="B8741" s="58" t="s">
        <v>13212</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17662</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13939</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17210</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10238</v>
      </c>
    </row>
    <row r="8763" spans="1:2" x14ac:dyDescent="0.25">
      <c r="A8763" s="57">
        <v>42181702</v>
      </c>
      <c r="B8763" s="58" t="s">
        <v>18645</v>
      </c>
    </row>
    <row r="8764" spans="1:2" x14ac:dyDescent="0.25">
      <c r="A8764" s="57">
        <v>42181703</v>
      </c>
      <c r="B8764" s="58" t="s">
        <v>14777</v>
      </c>
    </row>
    <row r="8765" spans="1:2" x14ac:dyDescent="0.25">
      <c r="A8765" s="57">
        <v>42181704</v>
      </c>
      <c r="B8765" s="58" t="s">
        <v>15845</v>
      </c>
    </row>
    <row r="8766" spans="1:2" x14ac:dyDescent="0.25">
      <c r="A8766" s="57">
        <v>42181705</v>
      </c>
      <c r="B8766" s="58" t="s">
        <v>13238</v>
      </c>
    </row>
    <row r="8767" spans="1:2" x14ac:dyDescent="0.25">
      <c r="A8767" s="57">
        <v>42181706</v>
      </c>
      <c r="B8767" s="58" t="s">
        <v>12629</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4380</v>
      </c>
    </row>
    <row r="8775" spans="1:2" x14ac:dyDescent="0.25">
      <c r="A8775" s="57">
        <v>42181714</v>
      </c>
      <c r="B8775" s="58" t="s">
        <v>6138</v>
      </c>
    </row>
    <row r="8776" spans="1:2" x14ac:dyDescent="0.25">
      <c r="A8776" s="57">
        <v>42181715</v>
      </c>
      <c r="B8776" s="58" t="s">
        <v>7094</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13924</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5265</v>
      </c>
    </row>
    <row r="8802" spans="1:2" x14ac:dyDescent="0.25">
      <c r="A8802" s="57">
        <v>42182006</v>
      </c>
      <c r="B8802" s="58" t="s">
        <v>10210</v>
      </c>
    </row>
    <row r="8803" spans="1:2" x14ac:dyDescent="0.25">
      <c r="A8803" s="57">
        <v>42182007</v>
      </c>
      <c r="B8803" s="58" t="s">
        <v>18050</v>
      </c>
    </row>
    <row r="8804" spans="1:2" x14ac:dyDescent="0.25">
      <c r="A8804" s="57">
        <v>42182008</v>
      </c>
      <c r="B8804" s="58" t="s">
        <v>18783</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12889</v>
      </c>
    </row>
    <row r="8820" spans="1:2" x14ac:dyDescent="0.25">
      <c r="A8820" s="57">
        <v>42182104</v>
      </c>
      <c r="B8820" s="58" t="s">
        <v>3937</v>
      </c>
    </row>
    <row r="8821" spans="1:2" x14ac:dyDescent="0.25">
      <c r="A8821" s="57">
        <v>42182105</v>
      </c>
      <c r="B8821" s="58" t="s">
        <v>13143</v>
      </c>
    </row>
    <row r="8822" spans="1:2" x14ac:dyDescent="0.25">
      <c r="A8822" s="57">
        <v>42182106</v>
      </c>
      <c r="B8822" s="58" t="s">
        <v>4368</v>
      </c>
    </row>
    <row r="8823" spans="1:2" x14ac:dyDescent="0.25">
      <c r="A8823" s="57">
        <v>42182107</v>
      </c>
      <c r="B8823" s="58" t="s">
        <v>13836</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17428</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12332</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11984</v>
      </c>
    </row>
    <row r="8843" spans="1:2" x14ac:dyDescent="0.25">
      <c r="A8843" s="57">
        <v>42182310</v>
      </c>
      <c r="B8843" s="58" t="s">
        <v>836</v>
      </c>
    </row>
    <row r="8844" spans="1:2" x14ac:dyDescent="0.25">
      <c r="A8844" s="57">
        <v>42182311</v>
      </c>
      <c r="B8844" s="58" t="s">
        <v>14836</v>
      </c>
    </row>
    <row r="8845" spans="1:2" x14ac:dyDescent="0.25">
      <c r="A8845" s="57">
        <v>42182312</v>
      </c>
      <c r="B8845" s="58" t="s">
        <v>12135</v>
      </c>
    </row>
    <row r="8846" spans="1:2" x14ac:dyDescent="0.25">
      <c r="A8846" s="57">
        <v>42182313</v>
      </c>
      <c r="B8846" s="58" t="s">
        <v>17209</v>
      </c>
    </row>
    <row r="8847" spans="1:2" x14ac:dyDescent="0.25">
      <c r="A8847" s="57">
        <v>42182314</v>
      </c>
      <c r="B8847" s="58" t="s">
        <v>7869</v>
      </c>
    </row>
    <row r="8848" spans="1:2" x14ac:dyDescent="0.25">
      <c r="A8848" s="57">
        <v>42182401</v>
      </c>
      <c r="B8848" s="58" t="s">
        <v>12370</v>
      </c>
    </row>
    <row r="8849" spans="1:2" x14ac:dyDescent="0.25">
      <c r="A8849" s="57">
        <v>42182402</v>
      </c>
      <c r="B8849" s="58" t="s">
        <v>6887</v>
      </c>
    </row>
    <row r="8850" spans="1:2" x14ac:dyDescent="0.25">
      <c r="A8850" s="57">
        <v>42182403</v>
      </c>
      <c r="B8850" s="58" t="s">
        <v>9701</v>
      </c>
    </row>
    <row r="8851" spans="1:2" x14ac:dyDescent="0.25">
      <c r="A8851" s="57">
        <v>42182404</v>
      </c>
      <c r="B8851" s="58" t="s">
        <v>14648</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14350</v>
      </c>
    </row>
    <row r="8858" spans="1:2" x14ac:dyDescent="0.25">
      <c r="A8858" s="57">
        <v>42182411</v>
      </c>
      <c r="B8858" s="58" t="s">
        <v>13882</v>
      </c>
    </row>
    <row r="8859" spans="1:2" x14ac:dyDescent="0.25">
      <c r="A8859" s="57">
        <v>42182412</v>
      </c>
      <c r="B8859" s="58" t="s">
        <v>5919</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14627</v>
      </c>
    </row>
    <row r="8867" spans="1:2" x14ac:dyDescent="0.25">
      <c r="A8867" s="57">
        <v>42182420</v>
      </c>
      <c r="B8867" s="58" t="s">
        <v>17870</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6029</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14036</v>
      </c>
    </row>
    <row r="8882" spans="1:2" x14ac:dyDescent="0.25">
      <c r="A8882" s="57">
        <v>42182803</v>
      </c>
      <c r="B8882" s="58" t="s">
        <v>16794</v>
      </c>
    </row>
    <row r="8883" spans="1:2" x14ac:dyDescent="0.25">
      <c r="A8883" s="57">
        <v>42182804</v>
      </c>
      <c r="B8883" s="58" t="s">
        <v>8227</v>
      </c>
    </row>
    <row r="8884" spans="1:2" x14ac:dyDescent="0.25">
      <c r="A8884" s="57">
        <v>42182805</v>
      </c>
      <c r="B8884" s="58" t="s">
        <v>14709</v>
      </c>
    </row>
    <row r="8885" spans="1:2" x14ac:dyDescent="0.25">
      <c r="A8885" s="57">
        <v>42182806</v>
      </c>
      <c r="B8885" s="58" t="s">
        <v>16661</v>
      </c>
    </row>
    <row r="8886" spans="1:2" x14ac:dyDescent="0.25">
      <c r="A8886" s="57">
        <v>42182807</v>
      </c>
      <c r="B8886" s="58" t="s">
        <v>5194</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18816</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18640</v>
      </c>
    </row>
    <row r="8910" spans="1:2" x14ac:dyDescent="0.25">
      <c r="A8910" s="57">
        <v>42183019</v>
      </c>
      <c r="B8910" s="58" t="s">
        <v>14367</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6412</v>
      </c>
    </row>
    <row r="8916" spans="1:2" x14ac:dyDescent="0.25">
      <c r="A8916" s="57">
        <v>42183025</v>
      </c>
      <c r="B8916" s="58" t="s">
        <v>16519</v>
      </c>
    </row>
    <row r="8917" spans="1:2" x14ac:dyDescent="0.25">
      <c r="A8917" s="57">
        <v>42183026</v>
      </c>
      <c r="B8917" s="58" t="s">
        <v>12482</v>
      </c>
    </row>
    <row r="8918" spans="1:2" x14ac:dyDescent="0.25">
      <c r="A8918" s="57">
        <v>42183027</v>
      </c>
      <c r="B8918" s="58" t="s">
        <v>14072</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12774</v>
      </c>
    </row>
    <row r="8923" spans="1:2" x14ac:dyDescent="0.25">
      <c r="A8923" s="57">
        <v>42183032</v>
      </c>
      <c r="B8923" s="58" t="s">
        <v>18242</v>
      </c>
    </row>
    <row r="8924" spans="1:2" x14ac:dyDescent="0.25">
      <c r="A8924" s="57">
        <v>42183033</v>
      </c>
      <c r="B8924" s="58" t="s">
        <v>14361</v>
      </c>
    </row>
    <row r="8925" spans="1:2" x14ac:dyDescent="0.25">
      <c r="A8925" s="57">
        <v>42183034</v>
      </c>
      <c r="B8925" s="58" t="s">
        <v>11715</v>
      </c>
    </row>
    <row r="8926" spans="1:2" x14ac:dyDescent="0.25">
      <c r="A8926" s="57">
        <v>42183035</v>
      </c>
      <c r="B8926" s="58" t="s">
        <v>12080</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9197</v>
      </c>
    </row>
    <row r="8931" spans="1:2" x14ac:dyDescent="0.25">
      <c r="A8931" s="57">
        <v>42183040</v>
      </c>
      <c r="B8931" s="58" t="s">
        <v>13860</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17262</v>
      </c>
    </row>
    <row r="8940" spans="1:2" x14ac:dyDescent="0.25">
      <c r="A8940" s="57">
        <v>42183101</v>
      </c>
      <c r="B8940" s="58" t="s">
        <v>13284</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10144</v>
      </c>
    </row>
    <row r="8945" spans="1:2" x14ac:dyDescent="0.25">
      <c r="A8945" s="57">
        <v>42191601</v>
      </c>
      <c r="B8945" s="58" t="s">
        <v>17822</v>
      </c>
    </row>
    <row r="8946" spans="1:2" x14ac:dyDescent="0.25">
      <c r="A8946" s="57">
        <v>42191602</v>
      </c>
      <c r="B8946" s="58" t="s">
        <v>4795</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13413</v>
      </c>
    </row>
    <row r="8958" spans="1:2" x14ac:dyDescent="0.25">
      <c r="A8958" s="57">
        <v>42191702</v>
      </c>
      <c r="B8958" s="58" t="s">
        <v>864</v>
      </c>
    </row>
    <row r="8959" spans="1:2" x14ac:dyDescent="0.25">
      <c r="A8959" s="57">
        <v>42191703</v>
      </c>
      <c r="B8959" s="58" t="s">
        <v>7620</v>
      </c>
    </row>
    <row r="8960" spans="1:2" x14ac:dyDescent="0.25">
      <c r="A8960" s="57">
        <v>42191704</v>
      </c>
      <c r="B8960" s="58" t="s">
        <v>10190</v>
      </c>
    </row>
    <row r="8961" spans="1:2" x14ac:dyDescent="0.25">
      <c r="A8961" s="57">
        <v>42191705</v>
      </c>
      <c r="B8961" s="58" t="s">
        <v>7162</v>
      </c>
    </row>
    <row r="8962" spans="1:2" x14ac:dyDescent="0.25">
      <c r="A8962" s="57">
        <v>42191706</v>
      </c>
      <c r="B8962" s="58" t="s">
        <v>13108</v>
      </c>
    </row>
    <row r="8963" spans="1:2" x14ac:dyDescent="0.25">
      <c r="A8963" s="57">
        <v>42191707</v>
      </c>
      <c r="B8963" s="58" t="s">
        <v>13399</v>
      </c>
    </row>
    <row r="8964" spans="1:2" x14ac:dyDescent="0.25">
      <c r="A8964" s="57">
        <v>42191708</v>
      </c>
      <c r="B8964" s="58" t="s">
        <v>12087</v>
      </c>
    </row>
    <row r="8965" spans="1:2" x14ac:dyDescent="0.25">
      <c r="A8965" s="57">
        <v>42191709</v>
      </c>
      <c r="B8965" s="58" t="s">
        <v>7864</v>
      </c>
    </row>
    <row r="8966" spans="1:2" x14ac:dyDescent="0.25">
      <c r="A8966" s="57">
        <v>42191710</v>
      </c>
      <c r="B8966" s="58" t="s">
        <v>18768</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17804</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4003</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6291</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12474</v>
      </c>
    </row>
    <row r="8999" spans="1:2" x14ac:dyDescent="0.25">
      <c r="A8999" s="57">
        <v>42192203</v>
      </c>
      <c r="B8999" s="58" t="s">
        <v>18420</v>
      </c>
    </row>
    <row r="9000" spans="1:2" x14ac:dyDescent="0.25">
      <c r="A9000" s="57">
        <v>42192204</v>
      </c>
      <c r="B9000" s="58" t="s">
        <v>13049</v>
      </c>
    </row>
    <row r="9001" spans="1:2" x14ac:dyDescent="0.25">
      <c r="A9001" s="57">
        <v>42192205</v>
      </c>
      <c r="B9001" s="58" t="s">
        <v>18429</v>
      </c>
    </row>
    <row r="9002" spans="1:2" x14ac:dyDescent="0.25">
      <c r="A9002" s="57">
        <v>42192206</v>
      </c>
      <c r="B9002" s="58" t="s">
        <v>10165</v>
      </c>
    </row>
    <row r="9003" spans="1:2" x14ac:dyDescent="0.25">
      <c r="A9003" s="57">
        <v>42192207</v>
      </c>
      <c r="B9003" s="58" t="s">
        <v>5804</v>
      </c>
    </row>
    <row r="9004" spans="1:2" x14ac:dyDescent="0.25">
      <c r="A9004" s="57">
        <v>42192208</v>
      </c>
      <c r="B9004" s="58" t="s">
        <v>12809</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17919</v>
      </c>
    </row>
    <row r="9012" spans="1:2" x14ac:dyDescent="0.25">
      <c r="A9012" s="57">
        <v>42192303</v>
      </c>
      <c r="B9012" s="58" t="s">
        <v>6964</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18616</v>
      </c>
    </row>
    <row r="9017" spans="1:2" x14ac:dyDescent="0.25">
      <c r="A9017" s="57">
        <v>42192403</v>
      </c>
      <c r="B9017" s="58" t="s">
        <v>407</v>
      </c>
    </row>
    <row r="9018" spans="1:2" x14ac:dyDescent="0.25">
      <c r="A9018" s="57">
        <v>42192404</v>
      </c>
      <c r="B9018" s="58" t="s">
        <v>11923</v>
      </c>
    </row>
    <row r="9019" spans="1:2" x14ac:dyDescent="0.25">
      <c r="A9019" s="57">
        <v>42192405</v>
      </c>
      <c r="B9019" s="58" t="s">
        <v>17708</v>
      </c>
    </row>
    <row r="9020" spans="1:2" x14ac:dyDescent="0.25">
      <c r="A9020" s="57">
        <v>42192406</v>
      </c>
      <c r="B9020" s="58" t="s">
        <v>4267</v>
      </c>
    </row>
    <row r="9021" spans="1:2" x14ac:dyDescent="0.25">
      <c r="A9021" s="57">
        <v>42192501</v>
      </c>
      <c r="B9021" s="58" t="s">
        <v>15740</v>
      </c>
    </row>
    <row r="9022" spans="1:2" x14ac:dyDescent="0.25">
      <c r="A9022" s="57">
        <v>42192502</v>
      </c>
      <c r="B9022" s="58" t="s">
        <v>10503</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17433</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13340</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6156</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5355</v>
      </c>
    </row>
    <row r="9044" spans="1:2" x14ac:dyDescent="0.25">
      <c r="A9044" s="57">
        <v>42201604</v>
      </c>
      <c r="B9044" s="58" t="s">
        <v>6540</v>
      </c>
    </row>
    <row r="9045" spans="1:2" x14ac:dyDescent="0.25">
      <c r="A9045" s="57">
        <v>42201605</v>
      </c>
      <c r="B9045" s="58" t="s">
        <v>11455</v>
      </c>
    </row>
    <row r="9046" spans="1:2" x14ac:dyDescent="0.25">
      <c r="A9046" s="57">
        <v>42201606</v>
      </c>
      <c r="B9046" s="58" t="s">
        <v>16770</v>
      </c>
    </row>
    <row r="9047" spans="1:2" x14ac:dyDescent="0.25">
      <c r="A9047" s="57">
        <v>42201607</v>
      </c>
      <c r="B9047" s="58" t="s">
        <v>9510</v>
      </c>
    </row>
    <row r="9048" spans="1:2" x14ac:dyDescent="0.25">
      <c r="A9048" s="57">
        <v>42201608</v>
      </c>
      <c r="B9048" s="58" t="s">
        <v>13595</v>
      </c>
    </row>
    <row r="9049" spans="1:2" x14ac:dyDescent="0.25">
      <c r="A9049" s="57">
        <v>42201609</v>
      </c>
      <c r="B9049" s="58" t="s">
        <v>5940</v>
      </c>
    </row>
    <row r="9050" spans="1:2" x14ac:dyDescent="0.25">
      <c r="A9050" s="57">
        <v>42201610</v>
      </c>
      <c r="B9050" s="58" t="s">
        <v>7223</v>
      </c>
    </row>
    <row r="9051" spans="1:2" x14ac:dyDescent="0.25">
      <c r="A9051" s="57">
        <v>42201611</v>
      </c>
      <c r="B9051" s="58" t="s">
        <v>11872</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6039</v>
      </c>
    </row>
    <row r="9059" spans="1:2" x14ac:dyDescent="0.25">
      <c r="A9059" s="57">
        <v>42201708</v>
      </c>
      <c r="B9059" s="58" t="s">
        <v>10470</v>
      </c>
    </row>
    <row r="9060" spans="1:2" x14ac:dyDescent="0.25">
      <c r="A9060" s="57">
        <v>42201709</v>
      </c>
      <c r="B9060" s="58" t="s">
        <v>4821</v>
      </c>
    </row>
    <row r="9061" spans="1:2" x14ac:dyDescent="0.25">
      <c r="A9061" s="57">
        <v>42201710</v>
      </c>
      <c r="B9061" s="58" t="s">
        <v>8322</v>
      </c>
    </row>
    <row r="9062" spans="1:2" x14ac:dyDescent="0.25">
      <c r="A9062" s="57">
        <v>42201711</v>
      </c>
      <c r="B9062" s="58" t="s">
        <v>11631</v>
      </c>
    </row>
    <row r="9063" spans="1:2" x14ac:dyDescent="0.25">
      <c r="A9063" s="57">
        <v>42201712</v>
      </c>
      <c r="B9063" s="58" t="s">
        <v>1970</v>
      </c>
    </row>
    <row r="9064" spans="1:2" x14ac:dyDescent="0.25">
      <c r="A9064" s="57">
        <v>42201713</v>
      </c>
      <c r="B9064" s="58" t="s">
        <v>13301</v>
      </c>
    </row>
    <row r="9065" spans="1:2" x14ac:dyDescent="0.25">
      <c r="A9065" s="57">
        <v>42201714</v>
      </c>
      <c r="B9065" s="58" t="s">
        <v>6142</v>
      </c>
    </row>
    <row r="9066" spans="1:2" x14ac:dyDescent="0.25">
      <c r="A9066" s="57">
        <v>42201715</v>
      </c>
      <c r="B9066" s="58" t="s">
        <v>18661</v>
      </c>
    </row>
    <row r="9067" spans="1:2" x14ac:dyDescent="0.25">
      <c r="A9067" s="57">
        <v>42201716</v>
      </c>
      <c r="B9067" s="58" t="s">
        <v>17560</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12419</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6125</v>
      </c>
    </row>
    <row r="9090" spans="1:2" x14ac:dyDescent="0.25">
      <c r="A9090" s="57">
        <v>42201820</v>
      </c>
      <c r="B9090" s="58" t="s">
        <v>16810</v>
      </c>
    </row>
    <row r="9091" spans="1:2" x14ac:dyDescent="0.25">
      <c r="A9091" s="57">
        <v>42201821</v>
      </c>
      <c r="B9091" s="58" t="s">
        <v>17498</v>
      </c>
    </row>
    <row r="9092" spans="1:2" x14ac:dyDescent="0.25">
      <c r="A9092" s="57">
        <v>42201822</v>
      </c>
      <c r="B9092" s="58" t="s">
        <v>5547</v>
      </c>
    </row>
    <row r="9093" spans="1:2" x14ac:dyDescent="0.25">
      <c r="A9093" s="57">
        <v>42201823</v>
      </c>
      <c r="B9093" s="58" t="s">
        <v>17684</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8746</v>
      </c>
    </row>
    <row r="9098" spans="1:2" x14ac:dyDescent="0.25">
      <c r="A9098" s="57">
        <v>42201828</v>
      </c>
      <c r="B9098" s="58" t="s">
        <v>17759</v>
      </c>
    </row>
    <row r="9099" spans="1:2" x14ac:dyDescent="0.25">
      <c r="A9099" s="57">
        <v>42201829</v>
      </c>
      <c r="B9099" s="58" t="s">
        <v>10108</v>
      </c>
    </row>
    <row r="9100" spans="1:2" x14ac:dyDescent="0.25">
      <c r="A9100" s="57">
        <v>42201830</v>
      </c>
      <c r="B9100" s="58" t="s">
        <v>7564</v>
      </c>
    </row>
    <row r="9101" spans="1:2" x14ac:dyDescent="0.25">
      <c r="A9101" s="57">
        <v>42201831</v>
      </c>
      <c r="B9101" s="58" t="s">
        <v>11599</v>
      </c>
    </row>
    <row r="9102" spans="1:2" x14ac:dyDescent="0.25">
      <c r="A9102" s="57">
        <v>42201832</v>
      </c>
      <c r="B9102" s="58" t="s">
        <v>18476</v>
      </c>
    </row>
    <row r="9103" spans="1:2" x14ac:dyDescent="0.25">
      <c r="A9103" s="57">
        <v>42201833</v>
      </c>
      <c r="B9103" s="58" t="s">
        <v>9572</v>
      </c>
    </row>
    <row r="9104" spans="1:2" x14ac:dyDescent="0.25">
      <c r="A9104" s="57">
        <v>42201834</v>
      </c>
      <c r="B9104" s="58" t="s">
        <v>10040</v>
      </c>
    </row>
    <row r="9105" spans="1:2" x14ac:dyDescent="0.25">
      <c r="A9105" s="57">
        <v>42201835</v>
      </c>
      <c r="B9105" s="58" t="s">
        <v>9234</v>
      </c>
    </row>
    <row r="9106" spans="1:2" x14ac:dyDescent="0.25">
      <c r="A9106" s="57">
        <v>42201836</v>
      </c>
      <c r="B9106" s="58" t="s">
        <v>13365</v>
      </c>
    </row>
    <row r="9107" spans="1:2" x14ac:dyDescent="0.25">
      <c r="A9107" s="57">
        <v>42201837</v>
      </c>
      <c r="B9107" s="58" t="s">
        <v>13800</v>
      </c>
    </row>
    <row r="9108" spans="1:2" x14ac:dyDescent="0.25">
      <c r="A9108" s="57">
        <v>42201838</v>
      </c>
      <c r="B9108" s="58" t="s">
        <v>5674</v>
      </c>
    </row>
    <row r="9109" spans="1:2" x14ac:dyDescent="0.25">
      <c r="A9109" s="57">
        <v>42201839</v>
      </c>
      <c r="B9109" s="58" t="s">
        <v>6059</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11031</v>
      </c>
    </row>
    <row r="9115" spans="1:2" x14ac:dyDescent="0.25">
      <c r="A9115" s="57">
        <v>42201904</v>
      </c>
      <c r="B9115" s="58" t="s">
        <v>12534</v>
      </c>
    </row>
    <row r="9116" spans="1:2" x14ac:dyDescent="0.25">
      <c r="A9116" s="57">
        <v>42201905</v>
      </c>
      <c r="B9116" s="58" t="s">
        <v>7527</v>
      </c>
    </row>
    <row r="9117" spans="1:2" x14ac:dyDescent="0.25">
      <c r="A9117" s="57">
        <v>42201906</v>
      </c>
      <c r="B9117" s="58" t="s">
        <v>12811</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17439</v>
      </c>
    </row>
    <row r="9122" spans="1:2" x14ac:dyDescent="0.25">
      <c r="A9122" s="57">
        <v>42202003</v>
      </c>
      <c r="B9122" s="58" t="s">
        <v>4611</v>
      </c>
    </row>
    <row r="9123" spans="1:2" x14ac:dyDescent="0.25">
      <c r="A9123" s="57">
        <v>42202004</v>
      </c>
      <c r="B9123" s="58" t="s">
        <v>18750</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7963</v>
      </c>
    </row>
    <row r="9128" spans="1:2" x14ac:dyDescent="0.25">
      <c r="A9128" s="57">
        <v>42202104</v>
      </c>
      <c r="B9128" s="58" t="s">
        <v>10175</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11856</v>
      </c>
    </row>
    <row r="9136" spans="1:2" x14ac:dyDescent="0.25">
      <c r="A9136" s="57">
        <v>42202401</v>
      </c>
      <c r="B9136" s="58" t="s">
        <v>16325</v>
      </c>
    </row>
    <row r="9137" spans="1:2" x14ac:dyDescent="0.25">
      <c r="A9137" s="57">
        <v>42202501</v>
      </c>
      <c r="B9137" s="58" t="s">
        <v>17549</v>
      </c>
    </row>
    <row r="9138" spans="1:2" x14ac:dyDescent="0.25">
      <c r="A9138" s="57">
        <v>42202601</v>
      </c>
      <c r="B9138" s="58" t="s">
        <v>17691</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9891</v>
      </c>
    </row>
    <row r="9143" spans="1:2" x14ac:dyDescent="0.25">
      <c r="A9143" s="57">
        <v>42202704</v>
      </c>
      <c r="B9143" s="58" t="s">
        <v>14348</v>
      </c>
    </row>
    <row r="9144" spans="1:2" x14ac:dyDescent="0.25">
      <c r="A9144" s="57">
        <v>42202801</v>
      </c>
      <c r="B9144" s="58" t="s">
        <v>3379</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9641</v>
      </c>
    </row>
    <row r="9150" spans="1:2" x14ac:dyDescent="0.25">
      <c r="A9150" s="57">
        <v>42203202</v>
      </c>
      <c r="B9150" s="58" t="s">
        <v>12204</v>
      </c>
    </row>
    <row r="9151" spans="1:2" x14ac:dyDescent="0.25">
      <c r="A9151" s="57">
        <v>42203301</v>
      </c>
      <c r="B9151" s="58" t="s">
        <v>6025</v>
      </c>
    </row>
    <row r="9152" spans="1:2" x14ac:dyDescent="0.25">
      <c r="A9152" s="57">
        <v>42203302</v>
      </c>
      <c r="B9152" s="58" t="s">
        <v>271</v>
      </c>
    </row>
    <row r="9153" spans="1:2" x14ac:dyDescent="0.25">
      <c r="A9153" s="57">
        <v>42203303</v>
      </c>
      <c r="B9153" s="58" t="s">
        <v>6048</v>
      </c>
    </row>
    <row r="9154" spans="1:2" x14ac:dyDescent="0.25">
      <c r="A9154" s="57">
        <v>42203401</v>
      </c>
      <c r="B9154" s="58" t="s">
        <v>8216</v>
      </c>
    </row>
    <row r="9155" spans="1:2" x14ac:dyDescent="0.25">
      <c r="A9155" s="57">
        <v>42203402</v>
      </c>
      <c r="B9155" s="58" t="s">
        <v>8204</v>
      </c>
    </row>
    <row r="9156" spans="1:2" x14ac:dyDescent="0.25">
      <c r="A9156" s="57">
        <v>42203403</v>
      </c>
      <c r="B9156" s="58" t="s">
        <v>10694</v>
      </c>
    </row>
    <row r="9157" spans="1:2" x14ac:dyDescent="0.25">
      <c r="A9157" s="57">
        <v>42203404</v>
      </c>
      <c r="B9157" s="58" t="s">
        <v>6111</v>
      </c>
    </row>
    <row r="9158" spans="1:2" x14ac:dyDescent="0.25">
      <c r="A9158" s="57">
        <v>42203405</v>
      </c>
      <c r="B9158" s="58" t="s">
        <v>14752</v>
      </c>
    </row>
    <row r="9159" spans="1:2" x14ac:dyDescent="0.25">
      <c r="A9159" s="57">
        <v>42203406</v>
      </c>
      <c r="B9159" s="58" t="s">
        <v>13244</v>
      </c>
    </row>
    <row r="9160" spans="1:2" x14ac:dyDescent="0.25">
      <c r="A9160" s="57">
        <v>42203407</v>
      </c>
      <c r="B9160" s="58" t="s">
        <v>8468</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17774</v>
      </c>
    </row>
    <row r="9165" spans="1:2" x14ac:dyDescent="0.25">
      <c r="A9165" s="57">
        <v>42203412</v>
      </c>
      <c r="B9165" s="58" t="s">
        <v>8701</v>
      </c>
    </row>
    <row r="9166" spans="1:2" x14ac:dyDescent="0.25">
      <c r="A9166" s="57">
        <v>42203501</v>
      </c>
      <c r="B9166" s="58" t="s">
        <v>12123</v>
      </c>
    </row>
    <row r="9167" spans="1:2" x14ac:dyDescent="0.25">
      <c r="A9167" s="57">
        <v>42203502</v>
      </c>
      <c r="B9167" s="58" t="s">
        <v>9110</v>
      </c>
    </row>
    <row r="9168" spans="1:2" x14ac:dyDescent="0.25">
      <c r="A9168" s="57">
        <v>42203503</v>
      </c>
      <c r="B9168" s="58" t="s">
        <v>13596</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11758</v>
      </c>
    </row>
    <row r="9187" spans="1:2" x14ac:dyDescent="0.25">
      <c r="A9187" s="57">
        <v>42203803</v>
      </c>
      <c r="B9187" s="58" t="s">
        <v>13647</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17460</v>
      </c>
    </row>
    <row r="9194" spans="1:2" x14ac:dyDescent="0.25">
      <c r="A9194" s="57">
        <v>42204005</v>
      </c>
      <c r="B9194" s="58" t="s">
        <v>2352</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17051</v>
      </c>
    </row>
    <row r="9199" spans="1:2" x14ac:dyDescent="0.25">
      <c r="A9199" s="57">
        <v>42211502</v>
      </c>
      <c r="B9199" s="58" t="s">
        <v>5785</v>
      </c>
    </row>
    <row r="9200" spans="1:2" x14ac:dyDescent="0.25">
      <c r="A9200" s="57">
        <v>42211503</v>
      </c>
      <c r="B9200" s="58" t="s">
        <v>11982</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11785</v>
      </c>
    </row>
    <row r="9205" spans="1:2" x14ac:dyDescent="0.25">
      <c r="A9205" s="57">
        <v>42211508</v>
      </c>
      <c r="B9205" s="58" t="s">
        <v>18020</v>
      </c>
    </row>
    <row r="9206" spans="1:2" x14ac:dyDescent="0.25">
      <c r="A9206" s="57">
        <v>42211509</v>
      </c>
      <c r="B9206" s="58" t="s">
        <v>4958</v>
      </c>
    </row>
    <row r="9207" spans="1:2" x14ac:dyDescent="0.25">
      <c r="A9207" s="57">
        <v>42211601</v>
      </c>
      <c r="B9207" s="58" t="s">
        <v>14075</v>
      </c>
    </row>
    <row r="9208" spans="1:2" x14ac:dyDescent="0.25">
      <c r="A9208" s="57">
        <v>42211602</v>
      </c>
      <c r="B9208" s="58" t="s">
        <v>3243</v>
      </c>
    </row>
    <row r="9209" spans="1:2" x14ac:dyDescent="0.25">
      <c r="A9209" s="57">
        <v>42211603</v>
      </c>
      <c r="B9209" s="58" t="s">
        <v>15107</v>
      </c>
    </row>
    <row r="9210" spans="1:2" x14ac:dyDescent="0.25">
      <c r="A9210" s="57">
        <v>42211604</v>
      </c>
      <c r="B9210" s="58" t="s">
        <v>17372</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12720</v>
      </c>
    </row>
    <row r="9219" spans="1:2" x14ac:dyDescent="0.25">
      <c r="A9219" s="57">
        <v>42211613</v>
      </c>
      <c r="B9219" s="58" t="s">
        <v>5551</v>
      </c>
    </row>
    <row r="9220" spans="1:2" x14ac:dyDescent="0.25">
      <c r="A9220" s="57">
        <v>42211614</v>
      </c>
      <c r="B9220" s="58" t="s">
        <v>13347</v>
      </c>
    </row>
    <row r="9221" spans="1:2" x14ac:dyDescent="0.25">
      <c r="A9221" s="57">
        <v>42211615</v>
      </c>
      <c r="B9221" s="58" t="s">
        <v>7360</v>
      </c>
    </row>
    <row r="9222" spans="1:2" x14ac:dyDescent="0.25">
      <c r="A9222" s="57">
        <v>42211616</v>
      </c>
      <c r="B9222" s="58" t="s">
        <v>890</v>
      </c>
    </row>
    <row r="9223" spans="1:2" x14ac:dyDescent="0.25">
      <c r="A9223" s="57">
        <v>42211617</v>
      </c>
      <c r="B9223" s="58" t="s">
        <v>14565</v>
      </c>
    </row>
    <row r="9224" spans="1:2" x14ac:dyDescent="0.25">
      <c r="A9224" s="57">
        <v>42211618</v>
      </c>
      <c r="B9224" s="58" t="s">
        <v>18488</v>
      </c>
    </row>
    <row r="9225" spans="1:2" x14ac:dyDescent="0.25">
      <c r="A9225" s="57">
        <v>42211701</v>
      </c>
      <c r="B9225" s="58" t="s">
        <v>7117</v>
      </c>
    </row>
    <row r="9226" spans="1:2" x14ac:dyDescent="0.25">
      <c r="A9226" s="57">
        <v>42211702</v>
      </c>
      <c r="B9226" s="58" t="s">
        <v>13609</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14017</v>
      </c>
    </row>
    <row r="9232" spans="1:2" x14ac:dyDescent="0.25">
      <c r="A9232" s="57">
        <v>42211708</v>
      </c>
      <c r="B9232" s="58" t="s">
        <v>18177</v>
      </c>
    </row>
    <row r="9233" spans="1:2" x14ac:dyDescent="0.25">
      <c r="A9233" s="57">
        <v>42211709</v>
      </c>
      <c r="B9233" s="58" t="s">
        <v>13351</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12596</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18051</v>
      </c>
    </row>
    <row r="9247" spans="1:2" x14ac:dyDescent="0.25">
      <c r="A9247" s="57">
        <v>42211811</v>
      </c>
      <c r="B9247" s="58" t="s">
        <v>14789</v>
      </c>
    </row>
    <row r="9248" spans="1:2" x14ac:dyDescent="0.25">
      <c r="A9248" s="57">
        <v>42211812</v>
      </c>
      <c r="B9248" s="58" t="s">
        <v>7755</v>
      </c>
    </row>
    <row r="9249" spans="1:2" x14ac:dyDescent="0.25">
      <c r="A9249" s="57">
        <v>42211813</v>
      </c>
      <c r="B9249" s="58" t="s">
        <v>12077</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6162</v>
      </c>
    </row>
    <row r="9254" spans="1:2" x14ac:dyDescent="0.25">
      <c r="A9254" s="57">
        <v>42211905</v>
      </c>
      <c r="B9254" s="58" t="s">
        <v>5889</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14039</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10681</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11475</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15377</v>
      </c>
    </row>
    <row r="9282" spans="1:2" x14ac:dyDescent="0.25">
      <c r="A9282" s="57">
        <v>42212108</v>
      </c>
      <c r="B9282" s="58" t="s">
        <v>13152</v>
      </c>
    </row>
    <row r="9283" spans="1:2" x14ac:dyDescent="0.25">
      <c r="A9283" s="57">
        <v>42212109</v>
      </c>
      <c r="B9283" s="58" t="s">
        <v>15301</v>
      </c>
    </row>
    <row r="9284" spans="1:2" x14ac:dyDescent="0.25">
      <c r="A9284" s="57">
        <v>42212110</v>
      </c>
      <c r="B9284" s="58" t="s">
        <v>10062</v>
      </c>
    </row>
    <row r="9285" spans="1:2" x14ac:dyDescent="0.25">
      <c r="A9285" s="57">
        <v>42212111</v>
      </c>
      <c r="B9285" s="58" t="s">
        <v>17212</v>
      </c>
    </row>
    <row r="9286" spans="1:2" x14ac:dyDescent="0.25">
      <c r="A9286" s="57">
        <v>42212112</v>
      </c>
      <c r="B9286" s="58" t="s">
        <v>12227</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17605</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5845</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5996</v>
      </c>
    </row>
    <row r="9303" spans="1:2" x14ac:dyDescent="0.25">
      <c r="A9303" s="57">
        <v>42221508</v>
      </c>
      <c r="B9303" s="58" t="s">
        <v>13106</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14566</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10236</v>
      </c>
    </row>
    <row r="9322" spans="1:2" x14ac:dyDescent="0.25">
      <c r="A9322" s="57">
        <v>42221616</v>
      </c>
      <c r="B9322" s="58" t="s">
        <v>8327</v>
      </c>
    </row>
    <row r="9323" spans="1:2" x14ac:dyDescent="0.25">
      <c r="A9323" s="57">
        <v>42221617</v>
      </c>
      <c r="B9323" s="58" t="s">
        <v>9583</v>
      </c>
    </row>
    <row r="9324" spans="1:2" x14ac:dyDescent="0.25">
      <c r="A9324" s="57">
        <v>42221618</v>
      </c>
      <c r="B9324" s="58" t="s">
        <v>10097</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10810</v>
      </c>
    </row>
    <row r="9329" spans="1:2" x14ac:dyDescent="0.25">
      <c r="A9329" s="57">
        <v>42221705</v>
      </c>
      <c r="B9329" s="58" t="s">
        <v>9659</v>
      </c>
    </row>
    <row r="9330" spans="1:2" x14ac:dyDescent="0.25">
      <c r="A9330" s="57">
        <v>42221706</v>
      </c>
      <c r="B9330" s="58" t="s">
        <v>17310</v>
      </c>
    </row>
    <row r="9331" spans="1:2" x14ac:dyDescent="0.25">
      <c r="A9331" s="57">
        <v>42221707</v>
      </c>
      <c r="B9331" s="58" t="s">
        <v>13788</v>
      </c>
    </row>
    <row r="9332" spans="1:2" x14ac:dyDescent="0.25">
      <c r="A9332" s="57">
        <v>42221801</v>
      </c>
      <c r="B9332" s="58" t="s">
        <v>11346</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16002</v>
      </c>
    </row>
    <row r="9341" spans="1:2" x14ac:dyDescent="0.25">
      <c r="A9341" s="57">
        <v>42222004</v>
      </c>
      <c r="B9341" s="58" t="s">
        <v>14522</v>
      </c>
    </row>
    <row r="9342" spans="1:2" x14ac:dyDescent="0.25">
      <c r="A9342" s="57">
        <v>42222005</v>
      </c>
      <c r="B9342" s="58" t="s">
        <v>5947</v>
      </c>
    </row>
    <row r="9343" spans="1:2" x14ac:dyDescent="0.25">
      <c r="A9343" s="57">
        <v>42222006</v>
      </c>
      <c r="B9343" s="58" t="s">
        <v>995</v>
      </c>
    </row>
    <row r="9344" spans="1:2" x14ac:dyDescent="0.25">
      <c r="A9344" s="57">
        <v>42222007</v>
      </c>
      <c r="B9344" s="58" t="s">
        <v>14280</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17664</v>
      </c>
    </row>
    <row r="9356" spans="1:2" x14ac:dyDescent="0.25">
      <c r="A9356" s="57">
        <v>42222305</v>
      </c>
      <c r="B9356" s="58" t="s">
        <v>11125</v>
      </c>
    </row>
    <row r="9357" spans="1:2" x14ac:dyDescent="0.25">
      <c r="A9357" s="57">
        <v>42222306</v>
      </c>
      <c r="B9357" s="58" t="s">
        <v>8500</v>
      </c>
    </row>
    <row r="9358" spans="1:2" x14ac:dyDescent="0.25">
      <c r="A9358" s="57">
        <v>42222307</v>
      </c>
      <c r="B9358" s="58" t="s">
        <v>10366</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13104</v>
      </c>
    </row>
    <row r="9365" spans="1:2" x14ac:dyDescent="0.25">
      <c r="A9365" s="57">
        <v>42231505</v>
      </c>
      <c r="B9365" s="58" t="s">
        <v>17270</v>
      </c>
    </row>
    <row r="9366" spans="1:2" x14ac:dyDescent="0.25">
      <c r="A9366" s="57">
        <v>42231506</v>
      </c>
      <c r="B9366" s="58" t="s">
        <v>10530</v>
      </c>
    </row>
    <row r="9367" spans="1:2" x14ac:dyDescent="0.25">
      <c r="A9367" s="57">
        <v>42231507</v>
      </c>
      <c r="B9367" s="58" t="s">
        <v>17392</v>
      </c>
    </row>
    <row r="9368" spans="1:2" x14ac:dyDescent="0.25">
      <c r="A9368" s="57">
        <v>42231508</v>
      </c>
      <c r="B9368" s="58" t="s">
        <v>9694</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14344</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13520</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6252</v>
      </c>
    </row>
    <row r="9393" spans="1:2" x14ac:dyDescent="0.25">
      <c r="A9393" s="57">
        <v>42231903</v>
      </c>
      <c r="B9393" s="58" t="s">
        <v>10779</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6161</v>
      </c>
    </row>
    <row r="9403" spans="1:2" x14ac:dyDescent="0.25">
      <c r="A9403" s="57">
        <v>42241507</v>
      </c>
      <c r="B9403" s="58" t="s">
        <v>17795</v>
      </c>
    </row>
    <row r="9404" spans="1:2" x14ac:dyDescent="0.25">
      <c r="A9404" s="57">
        <v>42241509</v>
      </c>
      <c r="B9404" s="58" t="s">
        <v>6728</v>
      </c>
    </row>
    <row r="9405" spans="1:2" x14ac:dyDescent="0.25">
      <c r="A9405" s="57">
        <v>42241510</v>
      </c>
      <c r="B9405" s="58" t="s">
        <v>7291</v>
      </c>
    </row>
    <row r="9406" spans="1:2" x14ac:dyDescent="0.25">
      <c r="A9406" s="57">
        <v>42241511</v>
      </c>
      <c r="B9406" s="58" t="s">
        <v>11477</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17240</v>
      </c>
    </row>
    <row r="9411" spans="1:2" x14ac:dyDescent="0.25">
      <c r="A9411" s="57">
        <v>42241601</v>
      </c>
      <c r="B9411" s="58" t="s">
        <v>8816</v>
      </c>
    </row>
    <row r="9412" spans="1:2" x14ac:dyDescent="0.25">
      <c r="A9412" s="57">
        <v>42241602</v>
      </c>
      <c r="B9412" s="58" t="s">
        <v>6666</v>
      </c>
    </row>
    <row r="9413" spans="1:2" x14ac:dyDescent="0.25">
      <c r="A9413" s="57">
        <v>42241603</v>
      </c>
      <c r="B9413" s="58" t="s">
        <v>18083</v>
      </c>
    </row>
    <row r="9414" spans="1:2" x14ac:dyDescent="0.25">
      <c r="A9414" s="57">
        <v>42241604</v>
      </c>
      <c r="B9414" s="58" t="s">
        <v>18663</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9695</v>
      </c>
    </row>
    <row r="9430" spans="1:2" x14ac:dyDescent="0.25">
      <c r="A9430" s="57">
        <v>42241806</v>
      </c>
      <c r="B9430" s="58" t="s">
        <v>18780</v>
      </c>
    </row>
    <row r="9431" spans="1:2" x14ac:dyDescent="0.25">
      <c r="A9431" s="57">
        <v>42241807</v>
      </c>
      <c r="B9431" s="58" t="s">
        <v>11871</v>
      </c>
    </row>
    <row r="9432" spans="1:2" x14ac:dyDescent="0.25">
      <c r="A9432" s="57">
        <v>42241808</v>
      </c>
      <c r="B9432" s="58" t="s">
        <v>8383</v>
      </c>
    </row>
    <row r="9433" spans="1:2" x14ac:dyDescent="0.25">
      <c r="A9433" s="57">
        <v>42241809</v>
      </c>
      <c r="B9433" s="58" t="s">
        <v>8215</v>
      </c>
    </row>
    <row r="9434" spans="1:2" x14ac:dyDescent="0.25">
      <c r="A9434" s="57">
        <v>42241810</v>
      </c>
      <c r="B9434" s="58" t="s">
        <v>10636</v>
      </c>
    </row>
    <row r="9435" spans="1:2" x14ac:dyDescent="0.25">
      <c r="A9435" s="57">
        <v>42241811</v>
      </c>
      <c r="B9435" s="58" t="s">
        <v>12480</v>
      </c>
    </row>
    <row r="9436" spans="1:2" x14ac:dyDescent="0.25">
      <c r="A9436" s="57">
        <v>42241901</v>
      </c>
      <c r="B9436" s="58" t="s">
        <v>17689</v>
      </c>
    </row>
    <row r="9437" spans="1:2" x14ac:dyDescent="0.25">
      <c r="A9437" s="57">
        <v>42241902</v>
      </c>
      <c r="B9437" s="58" t="s">
        <v>3675</v>
      </c>
    </row>
    <row r="9438" spans="1:2" x14ac:dyDescent="0.25">
      <c r="A9438" s="57">
        <v>42242001</v>
      </c>
      <c r="B9438" s="58" t="s">
        <v>12882</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13134</v>
      </c>
    </row>
    <row r="9445" spans="1:2" x14ac:dyDescent="0.25">
      <c r="A9445" s="57">
        <v>42242104</v>
      </c>
      <c r="B9445" s="58" t="s">
        <v>18788</v>
      </c>
    </row>
    <row r="9446" spans="1:2" x14ac:dyDescent="0.25">
      <c r="A9446" s="57">
        <v>42242105</v>
      </c>
      <c r="B9446" s="58" t="s">
        <v>9046</v>
      </c>
    </row>
    <row r="9447" spans="1:2" x14ac:dyDescent="0.25">
      <c r="A9447" s="57">
        <v>42242106</v>
      </c>
      <c r="B9447" s="58" t="s">
        <v>11471</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5834</v>
      </c>
    </row>
    <row r="9458" spans="1:2" x14ac:dyDescent="0.25">
      <c r="A9458" s="57">
        <v>42251506</v>
      </c>
      <c r="B9458" s="58" t="s">
        <v>10617</v>
      </c>
    </row>
    <row r="9459" spans="1:2" x14ac:dyDescent="0.25">
      <c r="A9459" s="57">
        <v>42251601</v>
      </c>
      <c r="B9459" s="58" t="s">
        <v>8205</v>
      </c>
    </row>
    <row r="9460" spans="1:2" x14ac:dyDescent="0.25">
      <c r="A9460" s="57">
        <v>42251602</v>
      </c>
      <c r="B9460" s="58" t="s">
        <v>13324</v>
      </c>
    </row>
    <row r="9461" spans="1:2" x14ac:dyDescent="0.25">
      <c r="A9461" s="57">
        <v>42251603</v>
      </c>
      <c r="B9461" s="58" t="s">
        <v>17232</v>
      </c>
    </row>
    <row r="9462" spans="1:2" x14ac:dyDescent="0.25">
      <c r="A9462" s="57">
        <v>42251604</v>
      </c>
      <c r="B9462" s="58" t="s">
        <v>14407</v>
      </c>
    </row>
    <row r="9463" spans="1:2" x14ac:dyDescent="0.25">
      <c r="A9463" s="57">
        <v>42251605</v>
      </c>
      <c r="B9463" s="58" t="s">
        <v>431</v>
      </c>
    </row>
    <row r="9464" spans="1:2" x14ac:dyDescent="0.25">
      <c r="A9464" s="57">
        <v>42251606</v>
      </c>
      <c r="B9464" s="58" t="s">
        <v>17526</v>
      </c>
    </row>
    <row r="9465" spans="1:2" x14ac:dyDescent="0.25">
      <c r="A9465" s="57">
        <v>42251607</v>
      </c>
      <c r="B9465" s="58" t="s">
        <v>8313</v>
      </c>
    </row>
    <row r="9466" spans="1:2" x14ac:dyDescent="0.25">
      <c r="A9466" s="57">
        <v>42251608</v>
      </c>
      <c r="B9466" s="58" t="s">
        <v>12352</v>
      </c>
    </row>
    <row r="9467" spans="1:2" x14ac:dyDescent="0.25">
      <c r="A9467" s="57">
        <v>42251609</v>
      </c>
      <c r="B9467" s="58" t="s">
        <v>17761</v>
      </c>
    </row>
    <row r="9468" spans="1:2" x14ac:dyDescent="0.25">
      <c r="A9468" s="57">
        <v>42251610</v>
      </c>
      <c r="B9468" s="58" t="s">
        <v>13768</v>
      </c>
    </row>
    <row r="9469" spans="1:2" x14ac:dyDescent="0.25">
      <c r="A9469" s="57">
        <v>42251611</v>
      </c>
      <c r="B9469" s="58" t="s">
        <v>12336</v>
      </c>
    </row>
    <row r="9470" spans="1:2" x14ac:dyDescent="0.25">
      <c r="A9470" s="57">
        <v>42251612</v>
      </c>
      <c r="B9470" s="58" t="s">
        <v>5883</v>
      </c>
    </row>
    <row r="9471" spans="1:2" x14ac:dyDescent="0.25">
      <c r="A9471" s="57">
        <v>42251613</v>
      </c>
      <c r="B9471" s="58" t="s">
        <v>7742</v>
      </c>
    </row>
    <row r="9472" spans="1:2" x14ac:dyDescent="0.25">
      <c r="A9472" s="57">
        <v>42251614</v>
      </c>
      <c r="B9472" s="58" t="s">
        <v>6767</v>
      </c>
    </row>
    <row r="9473" spans="1:2" x14ac:dyDescent="0.25">
      <c r="A9473" s="57">
        <v>42251615</v>
      </c>
      <c r="B9473" s="58" t="s">
        <v>10186</v>
      </c>
    </row>
    <row r="9474" spans="1:2" x14ac:dyDescent="0.25">
      <c r="A9474" s="57">
        <v>42251616</v>
      </c>
      <c r="B9474" s="58" t="s">
        <v>6513</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12583</v>
      </c>
    </row>
    <row r="9487" spans="1:2" x14ac:dyDescent="0.25">
      <c r="A9487" s="57">
        <v>42251705</v>
      </c>
      <c r="B9487" s="58" t="s">
        <v>12749</v>
      </c>
    </row>
    <row r="9488" spans="1:2" x14ac:dyDescent="0.25">
      <c r="A9488" s="57">
        <v>42251706</v>
      </c>
      <c r="B9488" s="58" t="s">
        <v>13700</v>
      </c>
    </row>
    <row r="9489" spans="1:2" x14ac:dyDescent="0.25">
      <c r="A9489" s="57">
        <v>42251801</v>
      </c>
      <c r="B9489" s="58" t="s">
        <v>15300</v>
      </c>
    </row>
    <row r="9490" spans="1:2" x14ac:dyDescent="0.25">
      <c r="A9490" s="57">
        <v>42251802</v>
      </c>
      <c r="B9490" s="58" t="s">
        <v>7470</v>
      </c>
    </row>
    <row r="9491" spans="1:2" x14ac:dyDescent="0.25">
      <c r="A9491" s="57">
        <v>42251803</v>
      </c>
      <c r="B9491" s="58" t="s">
        <v>17988</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12729</v>
      </c>
    </row>
    <row r="9498" spans="1:2" x14ac:dyDescent="0.25">
      <c r="A9498" s="57">
        <v>42261505</v>
      </c>
      <c r="B9498" s="58" t="s">
        <v>7277</v>
      </c>
    </row>
    <row r="9499" spans="1:2" x14ac:dyDescent="0.25">
      <c r="A9499" s="57">
        <v>42261506</v>
      </c>
      <c r="B9499" s="58" t="s">
        <v>13707</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11029</v>
      </c>
    </row>
    <row r="9506" spans="1:2" x14ac:dyDescent="0.25">
      <c r="A9506" s="57">
        <v>42261513</v>
      </c>
      <c r="B9506" s="58" t="s">
        <v>12478</v>
      </c>
    </row>
    <row r="9507" spans="1:2" x14ac:dyDescent="0.25">
      <c r="A9507" s="57">
        <v>42261514</v>
      </c>
      <c r="B9507" s="58" t="s">
        <v>5707</v>
      </c>
    </row>
    <row r="9508" spans="1:2" x14ac:dyDescent="0.25">
      <c r="A9508" s="57">
        <v>42261515</v>
      </c>
      <c r="B9508" s="58" t="s">
        <v>18677</v>
      </c>
    </row>
    <row r="9509" spans="1:2" x14ac:dyDescent="0.25">
      <c r="A9509" s="57">
        <v>42261516</v>
      </c>
      <c r="B9509" s="58" t="s">
        <v>5985</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17657</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6168</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13380</v>
      </c>
    </row>
    <row r="9531" spans="1:2" x14ac:dyDescent="0.25">
      <c r="A9531" s="57">
        <v>42261802</v>
      </c>
      <c r="B9531" s="58" t="s">
        <v>17669</v>
      </c>
    </row>
    <row r="9532" spans="1:2" x14ac:dyDescent="0.25">
      <c r="A9532" s="57">
        <v>42261803</v>
      </c>
      <c r="B9532" s="58" t="s">
        <v>17249</v>
      </c>
    </row>
    <row r="9533" spans="1:2" x14ac:dyDescent="0.25">
      <c r="A9533" s="57">
        <v>42261804</v>
      </c>
      <c r="B9533" s="58" t="s">
        <v>5016</v>
      </c>
    </row>
    <row r="9534" spans="1:2" x14ac:dyDescent="0.25">
      <c r="A9534" s="57">
        <v>42261805</v>
      </c>
      <c r="B9534" s="58" t="s">
        <v>13542</v>
      </c>
    </row>
    <row r="9535" spans="1:2" x14ac:dyDescent="0.25">
      <c r="A9535" s="57">
        <v>42261806</v>
      </c>
      <c r="B9535" s="58" t="s">
        <v>11343</v>
      </c>
    </row>
    <row r="9536" spans="1:2" x14ac:dyDescent="0.25">
      <c r="A9536" s="57">
        <v>42261807</v>
      </c>
      <c r="B9536" s="58" t="s">
        <v>3032</v>
      </c>
    </row>
    <row r="9537" spans="1:2" x14ac:dyDescent="0.25">
      <c r="A9537" s="57">
        <v>42261808</v>
      </c>
      <c r="B9537" s="58" t="s">
        <v>6221</v>
      </c>
    </row>
    <row r="9538" spans="1:2" x14ac:dyDescent="0.25">
      <c r="A9538" s="57">
        <v>42261809</v>
      </c>
      <c r="B9538" s="58" t="s">
        <v>11940</v>
      </c>
    </row>
    <row r="9539" spans="1:2" x14ac:dyDescent="0.25">
      <c r="A9539" s="57">
        <v>42261810</v>
      </c>
      <c r="B9539" s="58" t="s">
        <v>11607</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12652</v>
      </c>
    </row>
    <row r="9544" spans="1:2" x14ac:dyDescent="0.25">
      <c r="A9544" s="57">
        <v>42262001</v>
      </c>
      <c r="B9544" s="58" t="s">
        <v>8729</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16183</v>
      </c>
    </row>
    <row r="9558" spans="1:2" x14ac:dyDescent="0.25">
      <c r="A9558" s="57">
        <v>42271502</v>
      </c>
      <c r="B9558" s="58" t="s">
        <v>17512</v>
      </c>
    </row>
    <row r="9559" spans="1:2" x14ac:dyDescent="0.25">
      <c r="A9559" s="57">
        <v>42271503</v>
      </c>
      <c r="B9559" s="58" t="s">
        <v>8831</v>
      </c>
    </row>
    <row r="9560" spans="1:2" x14ac:dyDescent="0.25">
      <c r="A9560" s="57">
        <v>42271504</v>
      </c>
      <c r="B9560" s="58" t="s">
        <v>17474</v>
      </c>
    </row>
    <row r="9561" spans="1:2" x14ac:dyDescent="0.25">
      <c r="A9561" s="57">
        <v>42271505</v>
      </c>
      <c r="B9561" s="58" t="s">
        <v>3455</v>
      </c>
    </row>
    <row r="9562" spans="1:2" x14ac:dyDescent="0.25">
      <c r="A9562" s="57">
        <v>42271506</v>
      </c>
      <c r="B9562" s="58" t="s">
        <v>10110</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11751</v>
      </c>
    </row>
    <row r="9574" spans="1:2" x14ac:dyDescent="0.25">
      <c r="A9574" s="57">
        <v>42271612</v>
      </c>
      <c r="B9574" s="58" t="s">
        <v>16964</v>
      </c>
    </row>
    <row r="9575" spans="1:2" x14ac:dyDescent="0.25">
      <c r="A9575" s="57">
        <v>42271613</v>
      </c>
      <c r="B9575" s="58" t="s">
        <v>13686</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9030</v>
      </c>
    </row>
    <row r="9586" spans="1:2" x14ac:dyDescent="0.25">
      <c r="A9586" s="57">
        <v>42271706</v>
      </c>
      <c r="B9586" s="58" t="s">
        <v>10647</v>
      </c>
    </row>
    <row r="9587" spans="1:2" x14ac:dyDescent="0.25">
      <c r="A9587" s="57">
        <v>42271707</v>
      </c>
      <c r="B9587" s="58" t="s">
        <v>16809</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6064</v>
      </c>
    </row>
    <row r="9592" spans="1:2" x14ac:dyDescent="0.25">
      <c r="A9592" s="57">
        <v>42271712</v>
      </c>
      <c r="B9592" s="58" t="s">
        <v>16735</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11807</v>
      </c>
    </row>
    <row r="9601" spans="1:2" x14ac:dyDescent="0.25">
      <c r="A9601" s="57">
        <v>42271721</v>
      </c>
      <c r="B9601" s="58" t="s">
        <v>14331</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12344</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11690</v>
      </c>
    </row>
    <row r="9631" spans="1:2" x14ac:dyDescent="0.25">
      <c r="A9631" s="57">
        <v>42272012</v>
      </c>
      <c r="B9631" s="58" t="s">
        <v>18722</v>
      </c>
    </row>
    <row r="9632" spans="1:2" x14ac:dyDescent="0.25">
      <c r="A9632" s="57">
        <v>42272013</v>
      </c>
      <c r="B9632" s="58" t="s">
        <v>9389</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6884</v>
      </c>
    </row>
    <row r="9640" spans="1:2" x14ac:dyDescent="0.25">
      <c r="A9640" s="57">
        <v>42272202</v>
      </c>
      <c r="B9640" s="58" t="s">
        <v>8352</v>
      </c>
    </row>
    <row r="9641" spans="1:2" x14ac:dyDescent="0.25">
      <c r="A9641" s="57">
        <v>42272203</v>
      </c>
      <c r="B9641" s="58" t="s">
        <v>18670</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17475</v>
      </c>
    </row>
    <row r="9646" spans="1:2" x14ac:dyDescent="0.25">
      <c r="A9646" s="57">
        <v>42272208</v>
      </c>
      <c r="B9646" s="58" t="s">
        <v>15013</v>
      </c>
    </row>
    <row r="9647" spans="1:2" x14ac:dyDescent="0.25">
      <c r="A9647" s="57">
        <v>42272209</v>
      </c>
      <c r="B9647" s="58" t="s">
        <v>14696</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17810</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14448</v>
      </c>
    </row>
    <row r="9660" spans="1:2" x14ac:dyDescent="0.25">
      <c r="A9660" s="57">
        <v>42272222</v>
      </c>
      <c r="B9660" s="58" t="s">
        <v>13479</v>
      </c>
    </row>
    <row r="9661" spans="1:2" x14ac:dyDescent="0.25">
      <c r="A9661" s="57">
        <v>42272223</v>
      </c>
      <c r="B9661" s="58" t="s">
        <v>18240</v>
      </c>
    </row>
    <row r="9662" spans="1:2" x14ac:dyDescent="0.25">
      <c r="A9662" s="57">
        <v>42272224</v>
      </c>
      <c r="B9662" s="58" t="s">
        <v>17400</v>
      </c>
    </row>
    <row r="9663" spans="1:2" x14ac:dyDescent="0.25">
      <c r="A9663" s="57">
        <v>42272225</v>
      </c>
      <c r="B9663" s="58" t="s">
        <v>2937</v>
      </c>
    </row>
    <row r="9664" spans="1:2" x14ac:dyDescent="0.25">
      <c r="A9664" s="57">
        <v>42272301</v>
      </c>
      <c r="B9664" s="58" t="s">
        <v>11587</v>
      </c>
    </row>
    <row r="9665" spans="1:2" x14ac:dyDescent="0.25">
      <c r="A9665" s="57">
        <v>42272302</v>
      </c>
      <c r="B9665" s="58" t="s">
        <v>9366</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5934</v>
      </c>
    </row>
    <row r="9680" spans="1:2" x14ac:dyDescent="0.25">
      <c r="A9680" s="57">
        <v>42272506</v>
      </c>
      <c r="B9680" s="58" t="s">
        <v>7174</v>
      </c>
    </row>
    <row r="9681" spans="1:2" x14ac:dyDescent="0.25">
      <c r="A9681" s="57">
        <v>42272507</v>
      </c>
      <c r="B9681" s="58" t="s">
        <v>1557</v>
      </c>
    </row>
    <row r="9682" spans="1:2" x14ac:dyDescent="0.25">
      <c r="A9682" s="57">
        <v>42272508</v>
      </c>
      <c r="B9682" s="58" t="s">
        <v>13847</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9493</v>
      </c>
    </row>
    <row r="9694" spans="1:2" x14ac:dyDescent="0.25">
      <c r="A9694" s="57">
        <v>42281512</v>
      </c>
      <c r="B9694" s="58" t="s">
        <v>11240</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18748</v>
      </c>
    </row>
    <row r="9708" spans="1:2" x14ac:dyDescent="0.25">
      <c r="A9708" s="57">
        <v>42281602</v>
      </c>
      <c r="B9708" s="58" t="s">
        <v>14511</v>
      </c>
    </row>
    <row r="9709" spans="1:2" x14ac:dyDescent="0.25">
      <c r="A9709" s="57">
        <v>42281603</v>
      </c>
      <c r="B9709" s="58" t="s">
        <v>18729</v>
      </c>
    </row>
    <row r="9710" spans="1:2" x14ac:dyDescent="0.25">
      <c r="A9710" s="57">
        <v>42281604</v>
      </c>
      <c r="B9710" s="58" t="s">
        <v>7753</v>
      </c>
    </row>
    <row r="9711" spans="1:2" x14ac:dyDescent="0.25">
      <c r="A9711" s="57">
        <v>42281605</v>
      </c>
      <c r="B9711" s="58" t="s">
        <v>62</v>
      </c>
    </row>
    <row r="9712" spans="1:2" x14ac:dyDescent="0.25">
      <c r="A9712" s="57">
        <v>42281606</v>
      </c>
      <c r="B9712" s="58" t="s">
        <v>12611</v>
      </c>
    </row>
    <row r="9713" spans="1:2" x14ac:dyDescent="0.25">
      <c r="A9713" s="57">
        <v>42281701</v>
      </c>
      <c r="B9713" s="58" t="s">
        <v>17348</v>
      </c>
    </row>
    <row r="9714" spans="1:2" x14ac:dyDescent="0.25">
      <c r="A9714" s="57">
        <v>42281702</v>
      </c>
      <c r="B9714" s="58" t="s">
        <v>12676</v>
      </c>
    </row>
    <row r="9715" spans="1:2" x14ac:dyDescent="0.25">
      <c r="A9715" s="57">
        <v>42281703</v>
      </c>
      <c r="B9715" s="58" t="s">
        <v>12484</v>
      </c>
    </row>
    <row r="9716" spans="1:2" x14ac:dyDescent="0.25">
      <c r="A9716" s="57">
        <v>42281704</v>
      </c>
      <c r="B9716" s="58" t="s">
        <v>15551</v>
      </c>
    </row>
    <row r="9717" spans="1:2" x14ac:dyDescent="0.25">
      <c r="A9717" s="57">
        <v>42281705</v>
      </c>
      <c r="B9717" s="58" t="s">
        <v>10297</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18723</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9932</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16168</v>
      </c>
    </row>
    <row r="9749" spans="1:2" x14ac:dyDescent="0.25">
      <c r="A9749" s="57">
        <v>42281916</v>
      </c>
      <c r="B9749" s="58" t="s">
        <v>12506</v>
      </c>
    </row>
    <row r="9750" spans="1:2" x14ac:dyDescent="0.25">
      <c r="A9750" s="57">
        <v>42291501</v>
      </c>
      <c r="B9750" s="58" t="s">
        <v>12804</v>
      </c>
    </row>
    <row r="9751" spans="1:2" x14ac:dyDescent="0.25">
      <c r="A9751" s="57">
        <v>42291502</v>
      </c>
      <c r="B9751" s="58" t="s">
        <v>13859</v>
      </c>
    </row>
    <row r="9752" spans="1:2" x14ac:dyDescent="0.25">
      <c r="A9752" s="57">
        <v>42291601</v>
      </c>
      <c r="B9752" s="58" t="s">
        <v>12464</v>
      </c>
    </row>
    <row r="9753" spans="1:2" x14ac:dyDescent="0.25">
      <c r="A9753" s="57">
        <v>42291602</v>
      </c>
      <c r="B9753" s="58" t="s">
        <v>1930</v>
      </c>
    </row>
    <row r="9754" spans="1:2" x14ac:dyDescent="0.25">
      <c r="A9754" s="57">
        <v>42291603</v>
      </c>
      <c r="B9754" s="58" t="s">
        <v>5975</v>
      </c>
    </row>
    <row r="9755" spans="1:2" x14ac:dyDescent="0.25">
      <c r="A9755" s="57">
        <v>42291604</v>
      </c>
      <c r="B9755" s="58" t="s">
        <v>15400</v>
      </c>
    </row>
    <row r="9756" spans="1:2" x14ac:dyDescent="0.25">
      <c r="A9756" s="57">
        <v>42291605</v>
      </c>
      <c r="B9756" s="58" t="s">
        <v>6018</v>
      </c>
    </row>
    <row r="9757" spans="1:2" x14ac:dyDescent="0.25">
      <c r="A9757" s="57">
        <v>42291606</v>
      </c>
      <c r="B9757" s="58" t="s">
        <v>6296</v>
      </c>
    </row>
    <row r="9758" spans="1:2" x14ac:dyDescent="0.25">
      <c r="A9758" s="57">
        <v>42291607</v>
      </c>
      <c r="B9758" s="58" t="s">
        <v>17715</v>
      </c>
    </row>
    <row r="9759" spans="1:2" x14ac:dyDescent="0.25">
      <c r="A9759" s="57">
        <v>42291608</v>
      </c>
      <c r="B9759" s="58" t="s">
        <v>15597</v>
      </c>
    </row>
    <row r="9760" spans="1:2" x14ac:dyDescent="0.25">
      <c r="A9760" s="57">
        <v>42291609</v>
      </c>
      <c r="B9760" s="58" t="s">
        <v>5897</v>
      </c>
    </row>
    <row r="9761" spans="1:2" x14ac:dyDescent="0.25">
      <c r="A9761" s="57">
        <v>42291610</v>
      </c>
      <c r="B9761" s="58" t="s">
        <v>4094</v>
      </c>
    </row>
    <row r="9762" spans="1:2" x14ac:dyDescent="0.25">
      <c r="A9762" s="57">
        <v>42291611</v>
      </c>
      <c r="B9762" s="58" t="s">
        <v>12441</v>
      </c>
    </row>
    <row r="9763" spans="1:2" x14ac:dyDescent="0.25">
      <c r="A9763" s="57">
        <v>42291612</v>
      </c>
      <c r="B9763" s="58" t="s">
        <v>11893</v>
      </c>
    </row>
    <row r="9764" spans="1:2" x14ac:dyDescent="0.25">
      <c r="A9764" s="57">
        <v>42291613</v>
      </c>
      <c r="B9764" s="58" t="s">
        <v>8067</v>
      </c>
    </row>
    <row r="9765" spans="1:2" x14ac:dyDescent="0.25">
      <c r="A9765" s="57">
        <v>42291614</v>
      </c>
      <c r="B9765" s="58" t="s">
        <v>18787</v>
      </c>
    </row>
    <row r="9766" spans="1:2" x14ac:dyDescent="0.25">
      <c r="A9766" s="57">
        <v>42291615</v>
      </c>
      <c r="B9766" s="58" t="s">
        <v>18787</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14618</v>
      </c>
    </row>
    <row r="9771" spans="1:2" x14ac:dyDescent="0.25">
      <c r="A9771" s="57">
        <v>42291621</v>
      </c>
      <c r="B9771" s="58" t="s">
        <v>13911</v>
      </c>
    </row>
    <row r="9772" spans="1:2" x14ac:dyDescent="0.25">
      <c r="A9772" s="57">
        <v>42291622</v>
      </c>
      <c r="B9772" s="58" t="s">
        <v>17765</v>
      </c>
    </row>
    <row r="9773" spans="1:2" x14ac:dyDescent="0.25">
      <c r="A9773" s="57">
        <v>42291623</v>
      </c>
      <c r="B9773" s="58" t="s">
        <v>10582</v>
      </c>
    </row>
    <row r="9774" spans="1:2" x14ac:dyDescent="0.25">
      <c r="A9774" s="57">
        <v>42291624</v>
      </c>
      <c r="B9774" s="58" t="s">
        <v>668</v>
      </c>
    </row>
    <row r="9775" spans="1:2" x14ac:dyDescent="0.25">
      <c r="A9775" s="57">
        <v>42291625</v>
      </c>
      <c r="B9775" s="58" t="s">
        <v>6047</v>
      </c>
    </row>
    <row r="9776" spans="1:2" x14ac:dyDescent="0.25">
      <c r="A9776" s="57">
        <v>42291701</v>
      </c>
      <c r="B9776" s="58" t="s">
        <v>18803</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6057</v>
      </c>
    </row>
    <row r="9781" spans="1:2" x14ac:dyDescent="0.25">
      <c r="A9781" s="57">
        <v>42291706</v>
      </c>
      <c r="B9781" s="58" t="s">
        <v>9359</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11594</v>
      </c>
    </row>
    <row r="9787" spans="1:2" x14ac:dyDescent="0.25">
      <c r="A9787" s="57">
        <v>42291803</v>
      </c>
      <c r="B9787" s="58" t="s">
        <v>14459</v>
      </c>
    </row>
    <row r="9788" spans="1:2" x14ac:dyDescent="0.25">
      <c r="A9788" s="57">
        <v>42291901</v>
      </c>
      <c r="B9788" s="58" t="s">
        <v>1212</v>
      </c>
    </row>
    <row r="9789" spans="1:2" x14ac:dyDescent="0.25">
      <c r="A9789" s="57">
        <v>42291902</v>
      </c>
      <c r="B9789" s="58" t="s">
        <v>5941</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11985</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14523</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14437</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8639</v>
      </c>
    </row>
    <row r="9810" spans="1:2" x14ac:dyDescent="0.25">
      <c r="A9810" s="57">
        <v>42292504</v>
      </c>
      <c r="B9810" s="58" t="s">
        <v>10921</v>
      </c>
    </row>
    <row r="9811" spans="1:2" x14ac:dyDescent="0.25">
      <c r="A9811" s="57">
        <v>42292505</v>
      </c>
      <c r="B9811" s="58" t="s">
        <v>11441</v>
      </c>
    </row>
    <row r="9812" spans="1:2" x14ac:dyDescent="0.25">
      <c r="A9812" s="57">
        <v>42292601</v>
      </c>
      <c r="B9812" s="58" t="s">
        <v>6807</v>
      </c>
    </row>
    <row r="9813" spans="1:2" x14ac:dyDescent="0.25">
      <c r="A9813" s="57">
        <v>42292602</v>
      </c>
      <c r="B9813" s="58" t="s">
        <v>17645</v>
      </c>
    </row>
    <row r="9814" spans="1:2" x14ac:dyDescent="0.25">
      <c r="A9814" s="57">
        <v>42292603</v>
      </c>
      <c r="B9814" s="58" t="s">
        <v>15156</v>
      </c>
    </row>
    <row r="9815" spans="1:2" x14ac:dyDescent="0.25">
      <c r="A9815" s="57">
        <v>42292701</v>
      </c>
      <c r="B9815" s="58" t="s">
        <v>10880</v>
      </c>
    </row>
    <row r="9816" spans="1:2" x14ac:dyDescent="0.25">
      <c r="A9816" s="57">
        <v>42292702</v>
      </c>
      <c r="B9816" s="58" t="s">
        <v>18770</v>
      </c>
    </row>
    <row r="9817" spans="1:2" x14ac:dyDescent="0.25">
      <c r="A9817" s="57">
        <v>42292703</v>
      </c>
      <c r="B9817" s="58" t="s">
        <v>11505</v>
      </c>
    </row>
    <row r="9818" spans="1:2" x14ac:dyDescent="0.25">
      <c r="A9818" s="57">
        <v>42292704</v>
      </c>
      <c r="B9818" s="58" t="s">
        <v>12890</v>
      </c>
    </row>
    <row r="9819" spans="1:2" x14ac:dyDescent="0.25">
      <c r="A9819" s="57">
        <v>42292801</v>
      </c>
      <c r="B9819" s="58" t="s">
        <v>17749</v>
      </c>
    </row>
    <row r="9820" spans="1:2" x14ac:dyDescent="0.25">
      <c r="A9820" s="57">
        <v>42292802</v>
      </c>
      <c r="B9820" s="58" t="s">
        <v>769</v>
      </c>
    </row>
    <row r="9821" spans="1:2" x14ac:dyDescent="0.25">
      <c r="A9821" s="57">
        <v>42292901</v>
      </c>
      <c r="B9821" s="58" t="s">
        <v>7250</v>
      </c>
    </row>
    <row r="9822" spans="1:2" x14ac:dyDescent="0.25">
      <c r="A9822" s="57">
        <v>42292902</v>
      </c>
      <c r="B9822" s="58" t="s">
        <v>12394</v>
      </c>
    </row>
    <row r="9823" spans="1:2" x14ac:dyDescent="0.25">
      <c r="A9823" s="57">
        <v>42292903</v>
      </c>
      <c r="B9823" s="58" t="s">
        <v>10594</v>
      </c>
    </row>
    <row r="9824" spans="1:2" x14ac:dyDescent="0.25">
      <c r="A9824" s="57">
        <v>42292904</v>
      </c>
      <c r="B9824" s="58" t="s">
        <v>18692</v>
      </c>
    </row>
    <row r="9825" spans="1:2" x14ac:dyDescent="0.25">
      <c r="A9825" s="57">
        <v>42292907</v>
      </c>
      <c r="B9825" s="58" t="s">
        <v>9612</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6311</v>
      </c>
    </row>
    <row r="9832" spans="1:2" x14ac:dyDescent="0.25">
      <c r="A9832" s="57">
        <v>42293006</v>
      </c>
      <c r="B9832" s="58" t="s">
        <v>5644</v>
      </c>
    </row>
    <row r="9833" spans="1:2" x14ac:dyDescent="0.25">
      <c r="A9833" s="57">
        <v>42293101</v>
      </c>
      <c r="B9833" s="58" t="s">
        <v>10923</v>
      </c>
    </row>
    <row r="9834" spans="1:2" x14ac:dyDescent="0.25">
      <c r="A9834" s="57">
        <v>42293102</v>
      </c>
      <c r="B9834" s="58" t="s">
        <v>4970</v>
      </c>
    </row>
    <row r="9835" spans="1:2" x14ac:dyDescent="0.25">
      <c r="A9835" s="57">
        <v>42293103</v>
      </c>
      <c r="B9835" s="58" t="s">
        <v>4386</v>
      </c>
    </row>
    <row r="9836" spans="1:2" x14ac:dyDescent="0.25">
      <c r="A9836" s="57">
        <v>42293104</v>
      </c>
      <c r="B9836" s="58" t="s">
        <v>17862</v>
      </c>
    </row>
    <row r="9837" spans="1:2" x14ac:dyDescent="0.25">
      <c r="A9837" s="57">
        <v>42293105</v>
      </c>
      <c r="B9837" s="58" t="s">
        <v>11997</v>
      </c>
    </row>
    <row r="9838" spans="1:2" x14ac:dyDescent="0.25">
      <c r="A9838" s="57">
        <v>42293106</v>
      </c>
      <c r="B9838" s="58" t="s">
        <v>18509</v>
      </c>
    </row>
    <row r="9839" spans="1:2" x14ac:dyDescent="0.25">
      <c r="A9839" s="57">
        <v>42293107</v>
      </c>
      <c r="B9839" s="58" t="s">
        <v>6236</v>
      </c>
    </row>
    <row r="9840" spans="1:2" x14ac:dyDescent="0.25">
      <c r="A9840" s="57">
        <v>42293108</v>
      </c>
      <c r="B9840" s="58" t="s">
        <v>6958</v>
      </c>
    </row>
    <row r="9841" spans="1:2" x14ac:dyDescent="0.25">
      <c r="A9841" s="57">
        <v>42293109</v>
      </c>
      <c r="B9841" s="58" t="s">
        <v>5573</v>
      </c>
    </row>
    <row r="9842" spans="1:2" x14ac:dyDescent="0.25">
      <c r="A9842" s="57">
        <v>42293110</v>
      </c>
      <c r="B9842" s="58" t="s">
        <v>9698</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17787</v>
      </c>
    </row>
    <row r="9851" spans="1:2" x14ac:dyDescent="0.25">
      <c r="A9851" s="57">
        <v>42293119</v>
      </c>
      <c r="B9851" s="58" t="s">
        <v>4873</v>
      </c>
    </row>
    <row r="9852" spans="1:2" x14ac:dyDescent="0.25">
      <c r="A9852" s="57">
        <v>42293120</v>
      </c>
      <c r="B9852" s="58" t="s">
        <v>12128</v>
      </c>
    </row>
    <row r="9853" spans="1:2" x14ac:dyDescent="0.25">
      <c r="A9853" s="57">
        <v>42293121</v>
      </c>
      <c r="B9853" s="58" t="s">
        <v>2207</v>
      </c>
    </row>
    <row r="9854" spans="1:2" x14ac:dyDescent="0.25">
      <c r="A9854" s="57">
        <v>42293122</v>
      </c>
      <c r="B9854" s="58" t="s">
        <v>8789</v>
      </c>
    </row>
    <row r="9855" spans="1:2" x14ac:dyDescent="0.25">
      <c r="A9855" s="57">
        <v>42293123</v>
      </c>
      <c r="B9855" s="58" t="s">
        <v>13543</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10525</v>
      </c>
    </row>
    <row r="9861" spans="1:2" x14ac:dyDescent="0.25">
      <c r="A9861" s="57">
        <v>42293129</v>
      </c>
      <c r="B9861" s="58" t="s">
        <v>16257</v>
      </c>
    </row>
    <row r="9862" spans="1:2" x14ac:dyDescent="0.25">
      <c r="A9862" s="57">
        <v>42293130</v>
      </c>
      <c r="B9862" s="58" t="s">
        <v>6842</v>
      </c>
    </row>
    <row r="9863" spans="1:2" x14ac:dyDescent="0.25">
      <c r="A9863" s="57">
        <v>42293131</v>
      </c>
      <c r="B9863" s="58" t="s">
        <v>10782</v>
      </c>
    </row>
    <row r="9864" spans="1:2" x14ac:dyDescent="0.25">
      <c r="A9864" s="57">
        <v>42293132</v>
      </c>
      <c r="B9864" s="58" t="s">
        <v>5865</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11194</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8442</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9139</v>
      </c>
    </row>
    <row r="9882" spans="1:2" x14ac:dyDescent="0.25">
      <c r="A9882" s="57">
        <v>42293407</v>
      </c>
      <c r="B9882" s="58" t="s">
        <v>12355</v>
      </c>
    </row>
    <row r="9883" spans="1:2" x14ac:dyDescent="0.25">
      <c r="A9883" s="57">
        <v>42293501</v>
      </c>
      <c r="B9883" s="58" t="s">
        <v>4061</v>
      </c>
    </row>
    <row r="9884" spans="1:2" x14ac:dyDescent="0.25">
      <c r="A9884" s="57">
        <v>42293502</v>
      </c>
      <c r="B9884" s="58" t="s">
        <v>8676</v>
      </c>
    </row>
    <row r="9885" spans="1:2" x14ac:dyDescent="0.25">
      <c r="A9885" s="57">
        <v>42293503</v>
      </c>
      <c r="B9885" s="58" t="s">
        <v>12816</v>
      </c>
    </row>
    <row r="9886" spans="1:2" x14ac:dyDescent="0.25">
      <c r="A9886" s="57">
        <v>42293504</v>
      </c>
      <c r="B9886" s="58" t="s">
        <v>14131</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5966</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5853</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6280</v>
      </c>
    </row>
    <row r="9908" spans="1:2" x14ac:dyDescent="0.25">
      <c r="A9908" s="57">
        <v>42294102</v>
      </c>
      <c r="B9908" s="58" t="s">
        <v>11862</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17935</v>
      </c>
    </row>
    <row r="9915" spans="1:2" x14ac:dyDescent="0.25">
      <c r="A9915" s="57">
        <v>42294206</v>
      </c>
      <c r="B9915" s="58" t="s">
        <v>11787</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17427</v>
      </c>
    </row>
    <row r="9920" spans="1:2" x14ac:dyDescent="0.25">
      <c r="A9920" s="57">
        <v>42294211</v>
      </c>
      <c r="B9920" s="58" t="s">
        <v>3365</v>
      </c>
    </row>
    <row r="9921" spans="1:2" x14ac:dyDescent="0.25">
      <c r="A9921" s="57">
        <v>42294212</v>
      </c>
      <c r="B9921" s="58" t="s">
        <v>13569</v>
      </c>
    </row>
    <row r="9922" spans="1:2" x14ac:dyDescent="0.25">
      <c r="A9922" s="57">
        <v>42294213</v>
      </c>
      <c r="B9922" s="58" t="s">
        <v>13447</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18046</v>
      </c>
    </row>
    <row r="9928" spans="1:2" x14ac:dyDescent="0.25">
      <c r="A9928" s="57">
        <v>42294219</v>
      </c>
      <c r="B9928" s="58" t="s">
        <v>8362</v>
      </c>
    </row>
    <row r="9929" spans="1:2" x14ac:dyDescent="0.25">
      <c r="A9929" s="57">
        <v>42294220</v>
      </c>
      <c r="B9929" s="58" t="s">
        <v>5781</v>
      </c>
    </row>
    <row r="9930" spans="1:2" x14ac:dyDescent="0.25">
      <c r="A9930" s="57">
        <v>42294301</v>
      </c>
      <c r="B9930" s="58" t="s">
        <v>11704</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17832</v>
      </c>
    </row>
    <row r="9936" spans="1:2" x14ac:dyDescent="0.25">
      <c r="A9936" s="57">
        <v>42294401</v>
      </c>
      <c r="B9936" s="58" t="s">
        <v>7295</v>
      </c>
    </row>
    <row r="9937" spans="1:2" x14ac:dyDescent="0.25">
      <c r="A9937" s="57">
        <v>42294402</v>
      </c>
      <c r="B9937" s="58" t="s">
        <v>13183</v>
      </c>
    </row>
    <row r="9938" spans="1:2" x14ac:dyDescent="0.25">
      <c r="A9938" s="57">
        <v>42294501</v>
      </c>
      <c r="B9938" s="58" t="s">
        <v>6121</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12826</v>
      </c>
    </row>
    <row r="9943" spans="1:2" x14ac:dyDescent="0.25">
      <c r="A9943" s="57">
        <v>42294506</v>
      </c>
      <c r="B9943" s="58" t="s">
        <v>452</v>
      </c>
    </row>
    <row r="9944" spans="1:2" x14ac:dyDescent="0.25">
      <c r="A9944" s="57">
        <v>42294507</v>
      </c>
      <c r="B9944" s="58" t="s">
        <v>18014</v>
      </c>
    </row>
    <row r="9945" spans="1:2" x14ac:dyDescent="0.25">
      <c r="A9945" s="57">
        <v>42294508</v>
      </c>
      <c r="B9945" s="58" t="s">
        <v>13223</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6123</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9797</v>
      </c>
    </row>
    <row r="9958" spans="1:2" x14ac:dyDescent="0.25">
      <c r="A9958" s="57">
        <v>42294521</v>
      </c>
      <c r="B9958" s="58" t="s">
        <v>8308</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9974</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13378</v>
      </c>
    </row>
    <row r="9976" spans="1:2" x14ac:dyDescent="0.25">
      <c r="A9976" s="57">
        <v>42294706</v>
      </c>
      <c r="B9976" s="58" t="s">
        <v>4470</v>
      </c>
    </row>
    <row r="9977" spans="1:2" x14ac:dyDescent="0.25">
      <c r="A9977" s="57">
        <v>42294707</v>
      </c>
      <c r="B9977" s="58" t="s">
        <v>13881</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17616</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12495</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14093</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6046</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8660</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12784</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17458</v>
      </c>
    </row>
    <row r="10046" spans="1:2" x14ac:dyDescent="0.25">
      <c r="A10046" s="57">
        <v>42294946</v>
      </c>
      <c r="B10046" s="58" t="s">
        <v>17107</v>
      </c>
    </row>
    <row r="10047" spans="1:2" x14ac:dyDescent="0.25">
      <c r="A10047" s="57">
        <v>42294947</v>
      </c>
      <c r="B10047" s="58" t="s">
        <v>10853</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11323</v>
      </c>
    </row>
    <row r="10051" spans="1:2" x14ac:dyDescent="0.25">
      <c r="A10051" s="57">
        <v>42294951</v>
      </c>
      <c r="B10051" s="58" t="s">
        <v>17485</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9314</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5979</v>
      </c>
    </row>
    <row r="10064" spans="1:2" x14ac:dyDescent="0.25">
      <c r="A10064" s="57">
        <v>42295008</v>
      </c>
      <c r="B10064" s="58" t="s">
        <v>16593</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5869</v>
      </c>
    </row>
    <row r="10071" spans="1:2" x14ac:dyDescent="0.25">
      <c r="A10071" s="57">
        <v>42295015</v>
      </c>
      <c r="B10071" s="58" t="s">
        <v>12214</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10363</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6753</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10549</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17840</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17709</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17546</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12713</v>
      </c>
    </row>
    <row r="10121" spans="1:2" x14ac:dyDescent="0.25">
      <c r="A10121" s="57">
        <v>42295304</v>
      </c>
      <c r="B10121" s="58" t="s">
        <v>5091</v>
      </c>
    </row>
    <row r="10122" spans="1:2" x14ac:dyDescent="0.25">
      <c r="A10122" s="57">
        <v>42295305</v>
      </c>
      <c r="B10122" s="58" t="s">
        <v>6279</v>
      </c>
    </row>
    <row r="10123" spans="1:2" x14ac:dyDescent="0.25">
      <c r="A10123" s="57">
        <v>42295306</v>
      </c>
      <c r="B10123" s="58" t="s">
        <v>16575</v>
      </c>
    </row>
    <row r="10124" spans="1:2" x14ac:dyDescent="0.25">
      <c r="A10124" s="57">
        <v>42295307</v>
      </c>
      <c r="B10124" s="58" t="s">
        <v>6285</v>
      </c>
    </row>
    <row r="10125" spans="1:2" x14ac:dyDescent="0.25">
      <c r="A10125" s="57">
        <v>42295308</v>
      </c>
      <c r="B10125" s="58" t="s">
        <v>5473</v>
      </c>
    </row>
    <row r="10126" spans="1:2" x14ac:dyDescent="0.25">
      <c r="A10126" s="57">
        <v>42295401</v>
      </c>
      <c r="B10126" s="58" t="s">
        <v>10731</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11691</v>
      </c>
    </row>
    <row r="10130" spans="1:2" x14ac:dyDescent="0.25">
      <c r="A10130" s="57">
        <v>42295405</v>
      </c>
      <c r="B10130" s="58" t="s">
        <v>13593</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17386</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6550</v>
      </c>
    </row>
    <row r="10154" spans="1:2" x14ac:dyDescent="0.25">
      <c r="A10154" s="57">
        <v>42295429</v>
      </c>
      <c r="B10154" s="58" t="s">
        <v>17681</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9706</v>
      </c>
    </row>
    <row r="10163" spans="1:2" x14ac:dyDescent="0.25">
      <c r="A10163" s="57">
        <v>42295439</v>
      </c>
      <c r="B10163" s="58" t="s">
        <v>17796</v>
      </c>
    </row>
    <row r="10164" spans="1:2" x14ac:dyDescent="0.25">
      <c r="A10164" s="57">
        <v>42295440</v>
      </c>
      <c r="B10164" s="58" t="s">
        <v>3132</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13806</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11489</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6230</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12090</v>
      </c>
    </row>
    <row r="10197" spans="1:2" x14ac:dyDescent="0.25">
      <c r="A10197" s="57">
        <v>42295515</v>
      </c>
      <c r="B10197" s="58" t="s">
        <v>14439</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12590</v>
      </c>
    </row>
    <row r="10205" spans="1:2" x14ac:dyDescent="0.25">
      <c r="A10205" s="57">
        <v>42301505</v>
      </c>
      <c r="B10205" s="58" t="s">
        <v>17948</v>
      </c>
    </row>
    <row r="10206" spans="1:2" x14ac:dyDescent="0.25">
      <c r="A10206" s="57">
        <v>42301506</v>
      </c>
      <c r="B10206" s="58" t="s">
        <v>18764</v>
      </c>
    </row>
    <row r="10207" spans="1:2" x14ac:dyDescent="0.25">
      <c r="A10207" s="57">
        <v>42301507</v>
      </c>
      <c r="B10207" s="58" t="s">
        <v>17665</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5854</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13970</v>
      </c>
    </row>
    <row r="10234" spans="1:2" x14ac:dyDescent="0.25">
      <c r="A10234" s="57">
        <v>42311526</v>
      </c>
      <c r="B10234" s="58" t="s">
        <v>17514</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12189</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17529</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12558</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14157</v>
      </c>
    </row>
    <row r="10254" spans="1:2" x14ac:dyDescent="0.25">
      <c r="A10254" s="57">
        <v>42311903</v>
      </c>
      <c r="B10254" s="58" t="s">
        <v>7777</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10603</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17575</v>
      </c>
    </row>
    <row r="10268" spans="1:2" x14ac:dyDescent="0.25">
      <c r="A10268" s="57">
        <v>42312101</v>
      </c>
      <c r="B10268" s="58" t="s">
        <v>18810</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6216</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10604</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17963</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14203</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10054</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13640</v>
      </c>
    </row>
    <row r="10319" spans="1:2" x14ac:dyDescent="0.25">
      <c r="A10319" s="57">
        <v>43191602</v>
      </c>
      <c r="B10319" s="58" t="s">
        <v>17760</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4348</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17753</v>
      </c>
    </row>
    <row r="10344" spans="1:2" x14ac:dyDescent="0.25">
      <c r="A10344" s="57">
        <v>43191630</v>
      </c>
      <c r="B10344" s="58" t="s">
        <v>6084</v>
      </c>
    </row>
    <row r="10345" spans="1:2" x14ac:dyDescent="0.25">
      <c r="A10345" s="57">
        <v>43201401</v>
      </c>
      <c r="B10345" s="58" t="s">
        <v>13845</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11737</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4344</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6176</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18652</v>
      </c>
    </row>
    <row r="10371" spans="1:2" x14ac:dyDescent="0.25">
      <c r="A10371" s="57">
        <v>43201541</v>
      </c>
      <c r="B10371" s="58" t="s">
        <v>6223</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8087</v>
      </c>
    </row>
    <row r="10378" spans="1:2" x14ac:dyDescent="0.25">
      <c r="A10378" s="57">
        <v>43201549</v>
      </c>
      <c r="B10378" s="58" t="s">
        <v>14722</v>
      </c>
    </row>
    <row r="10379" spans="1:2" x14ac:dyDescent="0.25">
      <c r="A10379" s="57">
        <v>43201550</v>
      </c>
      <c r="B10379" s="58" t="s">
        <v>6953</v>
      </c>
    </row>
    <row r="10380" spans="1:2" x14ac:dyDescent="0.25">
      <c r="A10380" s="57">
        <v>43201552</v>
      </c>
      <c r="B10380" s="58" t="s">
        <v>17418</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17597</v>
      </c>
    </row>
    <row r="10385" spans="1:2" x14ac:dyDescent="0.25">
      <c r="A10385" s="57">
        <v>43201604</v>
      </c>
      <c r="B10385" s="58" t="s">
        <v>3979</v>
      </c>
    </row>
    <row r="10386" spans="1:2" x14ac:dyDescent="0.25">
      <c r="A10386" s="57">
        <v>43201605</v>
      </c>
      <c r="B10386" s="58" t="s">
        <v>18808</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13714</v>
      </c>
    </row>
    <row r="10393" spans="1:2" x14ac:dyDescent="0.25">
      <c r="A10393" s="57">
        <v>43201615</v>
      </c>
      <c r="B10393" s="58" t="s">
        <v>4101</v>
      </c>
    </row>
    <row r="10394" spans="1:2" x14ac:dyDescent="0.25">
      <c r="A10394" s="57">
        <v>43201616</v>
      </c>
      <c r="B10394" s="58" t="s">
        <v>10369</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9635</v>
      </c>
    </row>
    <row r="10402" spans="1:2" x14ac:dyDescent="0.25">
      <c r="A10402" s="57">
        <v>43201810</v>
      </c>
      <c r="B10402" s="58" t="s">
        <v>4148</v>
      </c>
    </row>
    <row r="10403" spans="1:2" x14ac:dyDescent="0.25">
      <c r="A10403" s="57">
        <v>43201811</v>
      </c>
      <c r="B10403" s="58" t="s">
        <v>13306</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13310</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12504</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18664</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4902</v>
      </c>
    </row>
    <row r="10446" spans="1:2" x14ac:dyDescent="0.25">
      <c r="A10446" s="57">
        <v>43211602</v>
      </c>
      <c r="B10446" s="58" t="s">
        <v>11934</v>
      </c>
    </row>
    <row r="10447" spans="1:2" x14ac:dyDescent="0.25">
      <c r="A10447" s="57">
        <v>43211603</v>
      </c>
      <c r="B10447" s="58" t="s">
        <v>13414</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12396</v>
      </c>
    </row>
    <row r="10453" spans="1:2" x14ac:dyDescent="0.25">
      <c r="A10453" s="57">
        <v>43211609</v>
      </c>
      <c r="B10453" s="58" t="s">
        <v>13762</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17586</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13178</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17623</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6307</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6360</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17207</v>
      </c>
    </row>
    <row r="10547" spans="1:2" x14ac:dyDescent="0.25">
      <c r="A10547" s="57">
        <v>43221801</v>
      </c>
      <c r="B10547" s="58" t="s">
        <v>6688</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9550</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12271</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14483</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5685</v>
      </c>
    </row>
    <row r="10580" spans="1:2" x14ac:dyDescent="0.25">
      <c r="A10580" s="57">
        <v>43222630</v>
      </c>
      <c r="B10580" s="58" t="s">
        <v>13415</v>
      </c>
    </row>
    <row r="10581" spans="1:2" x14ac:dyDescent="0.25">
      <c r="A10581" s="57">
        <v>43222631</v>
      </c>
      <c r="B10581" s="58" t="s">
        <v>18584</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9935</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12543</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12980</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13117</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6284</v>
      </c>
    </row>
    <row r="10635" spans="1:2" x14ac:dyDescent="0.25">
      <c r="A10635" s="57">
        <v>43231505</v>
      </c>
      <c r="B10635" s="58" t="s">
        <v>14347</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17758</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4095</v>
      </c>
    </row>
    <row r="10647" spans="1:2" x14ac:dyDescent="0.25">
      <c r="A10647" s="57">
        <v>43231604</v>
      </c>
      <c r="B10647" s="58" t="s">
        <v>13169</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14310</v>
      </c>
    </row>
    <row r="10653" spans="1:2" x14ac:dyDescent="0.25">
      <c r="A10653" s="57">
        <v>43232005</v>
      </c>
      <c r="B10653" s="58" t="s">
        <v>6857</v>
      </c>
    </row>
    <row r="10654" spans="1:2" x14ac:dyDescent="0.25">
      <c r="A10654" s="57">
        <v>43232101</v>
      </c>
      <c r="B10654" s="58" t="s">
        <v>14512</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6905</v>
      </c>
    </row>
    <row r="10673" spans="1:2" x14ac:dyDescent="0.25">
      <c r="A10673" s="57">
        <v>43232306</v>
      </c>
      <c r="B10673" s="58" t="s">
        <v>12955</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17576</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12380</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17404</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5767</v>
      </c>
    </row>
    <row r="10744" spans="1:2" x14ac:dyDescent="0.25">
      <c r="A10744" s="57">
        <v>43233411</v>
      </c>
      <c r="B10744" s="58" t="s">
        <v>13195</v>
      </c>
    </row>
    <row r="10745" spans="1:2" x14ac:dyDescent="0.25">
      <c r="A10745" s="57">
        <v>43233413</v>
      </c>
      <c r="B10745" s="58" t="s">
        <v>17440</v>
      </c>
    </row>
    <row r="10746" spans="1:2" x14ac:dyDescent="0.25">
      <c r="A10746" s="57">
        <v>43233414</v>
      </c>
      <c r="B10746" s="58" t="s">
        <v>12791</v>
      </c>
    </row>
    <row r="10747" spans="1:2" x14ac:dyDescent="0.25">
      <c r="A10747" s="57">
        <v>43233415</v>
      </c>
      <c r="B10747" s="58" t="s">
        <v>7721</v>
      </c>
    </row>
    <row r="10748" spans="1:2" x14ac:dyDescent="0.25">
      <c r="A10748" s="57">
        <v>43233501</v>
      </c>
      <c r="B10748" s="58" t="s">
        <v>6212</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6055</v>
      </c>
    </row>
    <row r="10761" spans="1:2" x14ac:dyDescent="0.25">
      <c r="A10761" s="57">
        <v>44101503</v>
      </c>
      <c r="B10761" s="58" t="s">
        <v>18742</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13977</v>
      </c>
    </row>
    <row r="10781" spans="1:2" x14ac:dyDescent="0.25">
      <c r="A10781" s="57">
        <v>44101711</v>
      </c>
      <c r="B10781" s="58" t="s">
        <v>12339</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5939</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9308</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14607</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17493</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13731</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15957</v>
      </c>
    </row>
    <row r="10842" spans="1:2" x14ac:dyDescent="0.25">
      <c r="A10842" s="57">
        <v>44102602</v>
      </c>
      <c r="B10842" s="58" t="s">
        <v>17850</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17781</v>
      </c>
    </row>
    <row r="10853" spans="1:2" x14ac:dyDescent="0.25">
      <c r="A10853" s="57">
        <v>44102902</v>
      </c>
      <c r="B10853" s="58" t="s">
        <v>13514</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18630</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6265</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13371</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18684</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18830</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13208</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6065</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9629</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18809</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4296</v>
      </c>
    </row>
    <row r="10957" spans="1:2" x14ac:dyDescent="0.25">
      <c r="A10957" s="57">
        <v>44111909</v>
      </c>
      <c r="B10957" s="58" t="s">
        <v>12634</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17379</v>
      </c>
    </row>
    <row r="10975" spans="1:2" x14ac:dyDescent="0.25">
      <c r="A10975" s="57">
        <v>44121510</v>
      </c>
      <c r="B10975" s="58" t="s">
        <v>17346</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12306</v>
      </c>
    </row>
    <row r="10986" spans="1:2" x14ac:dyDescent="0.25">
      <c r="A10986" s="57">
        <v>44121618</v>
      </c>
      <c r="B10986" s="58" t="s">
        <v>5924</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13260</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17569</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5885</v>
      </c>
    </row>
    <row r="11033" spans="1:2" x14ac:dyDescent="0.25">
      <c r="A11033" s="57">
        <v>44122003</v>
      </c>
      <c r="B11033" s="58" t="s">
        <v>6392</v>
      </c>
    </row>
    <row r="11034" spans="1:2" x14ac:dyDescent="0.25">
      <c r="A11034" s="57">
        <v>44122005</v>
      </c>
      <c r="B11034" s="58" t="s">
        <v>5949</v>
      </c>
    </row>
    <row r="11035" spans="1:2" x14ac:dyDescent="0.25">
      <c r="A11035" s="57">
        <v>44122008</v>
      </c>
      <c r="B11035" s="58" t="s">
        <v>13906</v>
      </c>
    </row>
    <row r="11036" spans="1:2" x14ac:dyDescent="0.25">
      <c r="A11036" s="57">
        <v>44122009</v>
      </c>
      <c r="B11036" s="58" t="s">
        <v>11858</v>
      </c>
    </row>
    <row r="11037" spans="1:2" x14ac:dyDescent="0.25">
      <c r="A11037" s="57">
        <v>44122010</v>
      </c>
      <c r="B11037" s="58" t="s">
        <v>7733</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17321</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12468</v>
      </c>
    </row>
    <row r="11047" spans="1:2" x14ac:dyDescent="0.25">
      <c r="A11047" s="57">
        <v>44122020</v>
      </c>
      <c r="B11047" s="58" t="s">
        <v>15760</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6026</v>
      </c>
    </row>
    <row r="11052" spans="1:2" x14ac:dyDescent="0.25">
      <c r="A11052" s="57">
        <v>44122025</v>
      </c>
      <c r="B11052" s="58" t="s">
        <v>4451</v>
      </c>
    </row>
    <row r="11053" spans="1:2" x14ac:dyDescent="0.25">
      <c r="A11053" s="57">
        <v>44122026</v>
      </c>
      <c r="B11053" s="58" t="s">
        <v>12561</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4077</v>
      </c>
    </row>
    <row r="11061" spans="1:2" x14ac:dyDescent="0.25">
      <c r="A11061" s="57">
        <v>44122107</v>
      </c>
      <c r="B11061" s="58" t="s">
        <v>10094</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17722</v>
      </c>
    </row>
    <row r="11071" spans="1:2" x14ac:dyDescent="0.25">
      <c r="A11071" s="57">
        <v>44122118</v>
      </c>
      <c r="B11071" s="58" t="s">
        <v>16217</v>
      </c>
    </row>
    <row r="11072" spans="1:2" x14ac:dyDescent="0.25">
      <c r="A11072" s="57">
        <v>44122119</v>
      </c>
      <c r="B11072" s="58" t="s">
        <v>6303</v>
      </c>
    </row>
    <row r="11073" spans="1:2" x14ac:dyDescent="0.25">
      <c r="A11073" s="57">
        <v>44122120</v>
      </c>
      <c r="B11073" s="58" t="s">
        <v>12465</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17431</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10464</v>
      </c>
    </row>
    <row r="11082" spans="1:2" x14ac:dyDescent="0.25">
      <c r="A11082" s="57">
        <v>45101508</v>
      </c>
      <c r="B11082" s="58" t="s">
        <v>5406</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17809</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18636</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17552</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13316</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12194</v>
      </c>
    </row>
    <row r="11135" spans="1:2" x14ac:dyDescent="0.25">
      <c r="A11135" s="57">
        <v>45111607</v>
      </c>
      <c r="B11135" s="58" t="s">
        <v>17906</v>
      </c>
    </row>
    <row r="11136" spans="1:2" x14ac:dyDescent="0.25">
      <c r="A11136" s="57">
        <v>45111608</v>
      </c>
      <c r="B11136" s="58" t="s">
        <v>13634</v>
      </c>
    </row>
    <row r="11137" spans="1:2" x14ac:dyDescent="0.25">
      <c r="A11137" s="57">
        <v>45111609</v>
      </c>
      <c r="B11137" s="58" t="s">
        <v>17320</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9049</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18707</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5839</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5296</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13972</v>
      </c>
    </row>
    <row r="11193" spans="1:2" x14ac:dyDescent="0.25">
      <c r="A11193" s="57">
        <v>45121609</v>
      </c>
      <c r="B11193" s="58" t="s">
        <v>17533</v>
      </c>
    </row>
    <row r="11194" spans="1:2" x14ac:dyDescent="0.25">
      <c r="A11194" s="57">
        <v>45121610</v>
      </c>
      <c r="B11194" s="58" t="s">
        <v>13184</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13255</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9741</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10330</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10903</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6103</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6158</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11527</v>
      </c>
    </row>
    <row r="11260" spans="1:2" x14ac:dyDescent="0.25">
      <c r="A11260" s="57">
        <v>46121507</v>
      </c>
      <c r="B11260" s="58" t="s">
        <v>8265</v>
      </c>
    </row>
    <row r="11261" spans="1:2" x14ac:dyDescent="0.25">
      <c r="A11261" s="57">
        <v>46121508</v>
      </c>
      <c r="B11261" s="58" t="s">
        <v>11426</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17340</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10949</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5629</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5991</v>
      </c>
    </row>
    <row r="11317" spans="1:2" x14ac:dyDescent="0.25">
      <c r="A11317" s="57">
        <v>46161509</v>
      </c>
      <c r="B11317" s="58" t="s">
        <v>11692</v>
      </c>
    </row>
    <row r="11318" spans="1:2" x14ac:dyDescent="0.25">
      <c r="A11318" s="57">
        <v>46161510</v>
      </c>
      <c r="B11318" s="58" t="s">
        <v>17252</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7890</v>
      </c>
    </row>
    <row r="11326" spans="1:2" x14ac:dyDescent="0.25">
      <c r="A11326" s="57">
        <v>46171504</v>
      </c>
      <c r="B11326" s="58" t="s">
        <v>10455</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6016</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9855</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6179</v>
      </c>
    </row>
    <row r="11347" spans="1:2" x14ac:dyDescent="0.25">
      <c r="A11347" s="57">
        <v>46171609</v>
      </c>
      <c r="B11347" s="58" t="s">
        <v>10123</v>
      </c>
    </row>
    <row r="11348" spans="1:2" x14ac:dyDescent="0.25">
      <c r="A11348" s="57">
        <v>46171610</v>
      </c>
      <c r="B11348" s="58" t="s">
        <v>17788</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13098</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6151</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7848</v>
      </c>
    </row>
    <row r="11392" spans="1:2" x14ac:dyDescent="0.25">
      <c r="A11392" s="57">
        <v>46181701</v>
      </c>
      <c r="B11392" s="58" t="s">
        <v>12335</v>
      </c>
    </row>
    <row r="11393" spans="1:2" x14ac:dyDescent="0.25">
      <c r="A11393" s="57">
        <v>46181702</v>
      </c>
      <c r="B11393" s="58" t="s">
        <v>6030</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18832</v>
      </c>
    </row>
    <row r="11399" spans="1:2" x14ac:dyDescent="0.25">
      <c r="A11399" s="57">
        <v>46181801</v>
      </c>
      <c r="B11399" s="58" t="s">
        <v>5989</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14405</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18680</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6079</v>
      </c>
    </row>
    <row r="11435" spans="1:2" x14ac:dyDescent="0.25">
      <c r="A11435" s="57">
        <v>46182209</v>
      </c>
      <c r="B11435" s="58" t="s">
        <v>2052</v>
      </c>
    </row>
    <row r="11436" spans="1:2" x14ac:dyDescent="0.25">
      <c r="A11436" s="57">
        <v>46182301</v>
      </c>
      <c r="B11436" s="58" t="s">
        <v>6137</v>
      </c>
    </row>
    <row r="11437" spans="1:2" x14ac:dyDescent="0.25">
      <c r="A11437" s="57">
        <v>46182302</v>
      </c>
      <c r="B11437" s="58" t="s">
        <v>18485</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18665</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13287</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17408</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12393</v>
      </c>
    </row>
    <row r="11461" spans="1:2" x14ac:dyDescent="0.25">
      <c r="A11461" s="57">
        <v>47101502</v>
      </c>
      <c r="B11461" s="58" t="s">
        <v>4390</v>
      </c>
    </row>
    <row r="11462" spans="1:2" x14ac:dyDescent="0.25">
      <c r="A11462" s="57">
        <v>47101503</v>
      </c>
      <c r="B11462" s="58" t="s">
        <v>14521</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12844</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17740</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5977</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12476</v>
      </c>
    </row>
    <row r="11492" spans="1:2" x14ac:dyDescent="0.25">
      <c r="A11492" s="57">
        <v>47101535</v>
      </c>
      <c r="B11492" s="58" t="s">
        <v>8023</v>
      </c>
    </row>
    <row r="11493" spans="1:2" x14ac:dyDescent="0.25">
      <c r="A11493" s="57">
        <v>47101536</v>
      </c>
      <c r="B11493" s="58" t="s">
        <v>14096</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17773</v>
      </c>
    </row>
    <row r="11508" spans="1:2" x14ac:dyDescent="0.25">
      <c r="A11508" s="57">
        <v>47101612</v>
      </c>
      <c r="B11508" s="58" t="s">
        <v>9107</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5717</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14073</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9745</v>
      </c>
    </row>
    <row r="11539" spans="1:2" x14ac:dyDescent="0.25">
      <c r="A11539" s="57">
        <v>47121708</v>
      </c>
      <c r="B11539" s="58" t="s">
        <v>2498</v>
      </c>
    </row>
    <row r="11540" spans="1:2" x14ac:dyDescent="0.25">
      <c r="A11540" s="57">
        <v>47121801</v>
      </c>
      <c r="B11540" s="58" t="s">
        <v>6298</v>
      </c>
    </row>
    <row r="11541" spans="1:2" x14ac:dyDescent="0.25">
      <c r="A11541" s="57">
        <v>47121802</v>
      </c>
      <c r="B11541" s="58" t="s">
        <v>8062</v>
      </c>
    </row>
    <row r="11542" spans="1:2" x14ac:dyDescent="0.25">
      <c r="A11542" s="57">
        <v>47121803</v>
      </c>
      <c r="B11542" s="58" t="s">
        <v>14427</v>
      </c>
    </row>
    <row r="11543" spans="1:2" x14ac:dyDescent="0.25">
      <c r="A11543" s="57">
        <v>47121804</v>
      </c>
      <c r="B11543" s="58" t="s">
        <v>17318</v>
      </c>
    </row>
    <row r="11544" spans="1:2" x14ac:dyDescent="0.25">
      <c r="A11544" s="57">
        <v>47121805</v>
      </c>
      <c r="B11544" s="58" t="s">
        <v>6900</v>
      </c>
    </row>
    <row r="11545" spans="1:2" x14ac:dyDescent="0.25">
      <c r="A11545" s="57">
        <v>47121806</v>
      </c>
      <c r="B11545" s="58" t="s">
        <v>14366</v>
      </c>
    </row>
    <row r="11546" spans="1:2" x14ac:dyDescent="0.25">
      <c r="A11546" s="57">
        <v>47121807</v>
      </c>
      <c r="B11546" s="58" t="s">
        <v>7531</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13708</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11602</v>
      </c>
    </row>
    <row r="11559" spans="1:2" x14ac:dyDescent="0.25">
      <c r="A11559" s="57">
        <v>47131601</v>
      </c>
      <c r="B11559" s="58" t="s">
        <v>5081</v>
      </c>
    </row>
    <row r="11560" spans="1:2" x14ac:dyDescent="0.25">
      <c r="A11560" s="57">
        <v>47131602</v>
      </c>
      <c r="B11560" s="58" t="s">
        <v>12136</v>
      </c>
    </row>
    <row r="11561" spans="1:2" x14ac:dyDescent="0.25">
      <c r="A11561" s="57">
        <v>47131603</v>
      </c>
      <c r="B11561" s="58" t="s">
        <v>5611</v>
      </c>
    </row>
    <row r="11562" spans="1:2" x14ac:dyDescent="0.25">
      <c r="A11562" s="57">
        <v>47131604</v>
      </c>
      <c r="B11562" s="58" t="s">
        <v>17591</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17548</v>
      </c>
    </row>
    <row r="11566" spans="1:2" x14ac:dyDescent="0.25">
      <c r="A11566" s="57">
        <v>47131610</v>
      </c>
      <c r="B11566" s="58" t="s">
        <v>8577</v>
      </c>
    </row>
    <row r="11567" spans="1:2" x14ac:dyDescent="0.25">
      <c r="A11567" s="57">
        <v>47131611</v>
      </c>
      <c r="B11567" s="58" t="s">
        <v>13289</v>
      </c>
    </row>
    <row r="11568" spans="1:2" x14ac:dyDescent="0.25">
      <c r="A11568" s="57">
        <v>47131612</v>
      </c>
      <c r="B11568" s="58" t="s">
        <v>18257</v>
      </c>
    </row>
    <row r="11569" spans="1:2" x14ac:dyDescent="0.25">
      <c r="A11569" s="57">
        <v>47131613</v>
      </c>
      <c r="B11569" s="58" t="s">
        <v>13199</v>
      </c>
    </row>
    <row r="11570" spans="1:2" x14ac:dyDescent="0.25">
      <c r="A11570" s="57">
        <v>47131614</v>
      </c>
      <c r="B11570" s="58" t="s">
        <v>17373</v>
      </c>
    </row>
    <row r="11571" spans="1:2" x14ac:dyDescent="0.25">
      <c r="A11571" s="57">
        <v>47131615</v>
      </c>
      <c r="B11571" s="58" t="s">
        <v>8607</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6235</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17370</v>
      </c>
    </row>
    <row r="11587" spans="1:2" x14ac:dyDescent="0.25">
      <c r="A11587" s="57">
        <v>47131801</v>
      </c>
      <c r="B11587" s="58" t="s">
        <v>11850</v>
      </c>
    </row>
    <row r="11588" spans="1:2" x14ac:dyDescent="0.25">
      <c r="A11588" s="57">
        <v>47131802</v>
      </c>
      <c r="B11588" s="58" t="s">
        <v>17390</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3803</v>
      </c>
    </row>
    <row r="11594" spans="1:2" x14ac:dyDescent="0.25">
      <c r="A11594" s="57">
        <v>47131808</v>
      </c>
      <c r="B11594" s="58" t="s">
        <v>14622</v>
      </c>
    </row>
    <row r="11595" spans="1:2" x14ac:dyDescent="0.25">
      <c r="A11595" s="57">
        <v>47131809</v>
      </c>
      <c r="B11595" s="58" t="s">
        <v>4167</v>
      </c>
    </row>
    <row r="11596" spans="1:2" x14ac:dyDescent="0.25">
      <c r="A11596" s="57">
        <v>47131810</v>
      </c>
      <c r="B11596" s="58" t="s">
        <v>17333</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13321</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17696</v>
      </c>
    </row>
    <row r="11613" spans="1:2" x14ac:dyDescent="0.25">
      <c r="A11613" s="57">
        <v>47131827</v>
      </c>
      <c r="B11613" s="58" t="s">
        <v>17554</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17801</v>
      </c>
    </row>
    <row r="11638" spans="1:2" x14ac:dyDescent="0.25">
      <c r="A11638" s="57">
        <v>48101507</v>
      </c>
      <c r="B11638" s="58" t="s">
        <v>8779</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17296</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11183</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17631</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4510</v>
      </c>
    </row>
    <row r="11706" spans="1:2" x14ac:dyDescent="0.25">
      <c r="A11706" s="57">
        <v>48101811</v>
      </c>
      <c r="B11706" s="58" t="s">
        <v>13751</v>
      </c>
    </row>
    <row r="11707" spans="1:2" x14ac:dyDescent="0.25">
      <c r="A11707" s="57">
        <v>48101812</v>
      </c>
      <c r="B11707" s="58" t="s">
        <v>11746</v>
      </c>
    </row>
    <row r="11708" spans="1:2" x14ac:dyDescent="0.25">
      <c r="A11708" s="57">
        <v>48101813</v>
      </c>
      <c r="B11708" s="58" t="s">
        <v>6465</v>
      </c>
    </row>
    <row r="11709" spans="1:2" x14ac:dyDescent="0.25">
      <c r="A11709" s="57">
        <v>48101814</v>
      </c>
      <c r="B11709" s="58" t="s">
        <v>17583</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17360</v>
      </c>
    </row>
    <row r="11721" spans="1:2" x14ac:dyDescent="0.25">
      <c r="A11721" s="57">
        <v>48101909</v>
      </c>
      <c r="B11721" s="58" t="s">
        <v>10092</v>
      </c>
    </row>
    <row r="11722" spans="1:2" x14ac:dyDescent="0.25">
      <c r="A11722" s="57">
        <v>48101910</v>
      </c>
      <c r="B11722" s="58" t="s">
        <v>5085</v>
      </c>
    </row>
    <row r="11723" spans="1:2" x14ac:dyDescent="0.25">
      <c r="A11723" s="57">
        <v>48101911</v>
      </c>
      <c r="B11723" s="58" t="s">
        <v>5846</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10431</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10702</v>
      </c>
    </row>
    <row r="11752" spans="1:2" x14ac:dyDescent="0.25">
      <c r="A11752" s="57">
        <v>48111104</v>
      </c>
      <c r="B11752" s="58" t="s">
        <v>8073</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13693</v>
      </c>
    </row>
    <row r="11759" spans="1:2" x14ac:dyDescent="0.25">
      <c r="A11759" s="57">
        <v>48111301</v>
      </c>
      <c r="B11759" s="58" t="s">
        <v>6394</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14089</v>
      </c>
    </row>
    <row r="11767" spans="1:2" x14ac:dyDescent="0.25">
      <c r="A11767" s="57">
        <v>48121101</v>
      </c>
      <c r="B11767" s="58" t="s">
        <v>5976</v>
      </c>
    </row>
    <row r="11768" spans="1:2" x14ac:dyDescent="0.25">
      <c r="A11768" s="57">
        <v>48121201</v>
      </c>
      <c r="B11768" s="58" t="s">
        <v>18292</v>
      </c>
    </row>
    <row r="11769" spans="1:2" x14ac:dyDescent="0.25">
      <c r="A11769" s="57">
        <v>48121202</v>
      </c>
      <c r="B11769" s="58" t="s">
        <v>17351</v>
      </c>
    </row>
    <row r="11770" spans="1:2" x14ac:dyDescent="0.25">
      <c r="A11770" s="57">
        <v>48121301</v>
      </c>
      <c r="B11770" s="58" t="s">
        <v>17615</v>
      </c>
    </row>
    <row r="11771" spans="1:2" x14ac:dyDescent="0.25">
      <c r="A11771" s="57">
        <v>48121302</v>
      </c>
      <c r="B11771" s="58" t="s">
        <v>5972</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11652</v>
      </c>
    </row>
    <row r="11779" spans="1:2" x14ac:dyDescent="0.25">
      <c r="A11779" s="57">
        <v>49101608</v>
      </c>
      <c r="B11779" s="58" t="s">
        <v>7057</v>
      </c>
    </row>
    <row r="11780" spans="1:2" x14ac:dyDescent="0.25">
      <c r="A11780" s="57">
        <v>49101609</v>
      </c>
      <c r="B11780" s="58" t="s">
        <v>13193</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17426</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10060</v>
      </c>
    </row>
    <row r="11835" spans="1:2" x14ac:dyDescent="0.25">
      <c r="A11835" s="57">
        <v>49151602</v>
      </c>
      <c r="B11835" s="58" t="s">
        <v>17085</v>
      </c>
    </row>
    <row r="11836" spans="1:2" x14ac:dyDescent="0.25">
      <c r="A11836" s="57">
        <v>49151603</v>
      </c>
      <c r="B11836" s="58" t="s">
        <v>13417</v>
      </c>
    </row>
    <row r="11837" spans="1:2" x14ac:dyDescent="0.25">
      <c r="A11837" s="57">
        <v>49161501</v>
      </c>
      <c r="B11837" s="58" t="s">
        <v>6060</v>
      </c>
    </row>
    <row r="11838" spans="1:2" x14ac:dyDescent="0.25">
      <c r="A11838" s="57">
        <v>49161502</v>
      </c>
      <c r="B11838" s="58" t="s">
        <v>8060</v>
      </c>
    </row>
    <row r="11839" spans="1:2" x14ac:dyDescent="0.25">
      <c r="A11839" s="57">
        <v>49161503</v>
      </c>
      <c r="B11839" s="58" t="s">
        <v>11562</v>
      </c>
    </row>
    <row r="11840" spans="1:2" x14ac:dyDescent="0.25">
      <c r="A11840" s="57">
        <v>49161504</v>
      </c>
      <c r="B11840" s="58" t="s">
        <v>8367</v>
      </c>
    </row>
    <row r="11841" spans="1:2" x14ac:dyDescent="0.25">
      <c r="A11841" s="57">
        <v>49161505</v>
      </c>
      <c r="B11841" s="58" t="s">
        <v>17771</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12625</v>
      </c>
    </row>
    <row r="11854" spans="1:2" x14ac:dyDescent="0.25">
      <c r="A11854" s="57">
        <v>49161518</v>
      </c>
      <c r="B11854" s="58" t="s">
        <v>18739</v>
      </c>
    </row>
    <row r="11855" spans="1:2" x14ac:dyDescent="0.25">
      <c r="A11855" s="57">
        <v>49161519</v>
      </c>
      <c r="B11855" s="58" t="s">
        <v>11282</v>
      </c>
    </row>
    <row r="11856" spans="1:2" x14ac:dyDescent="0.25">
      <c r="A11856" s="57">
        <v>49161520</v>
      </c>
      <c r="B11856" s="58" t="s">
        <v>7651</v>
      </c>
    </row>
    <row r="11857" spans="1:2" x14ac:dyDescent="0.25">
      <c r="A11857" s="57">
        <v>49161521</v>
      </c>
      <c r="B11857" s="58" t="s">
        <v>11698</v>
      </c>
    </row>
    <row r="11858" spans="1:2" x14ac:dyDescent="0.25">
      <c r="A11858" s="57">
        <v>49161522</v>
      </c>
      <c r="B11858" s="58" t="s">
        <v>7463</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17525</v>
      </c>
    </row>
    <row r="11869" spans="1:2" x14ac:dyDescent="0.25">
      <c r="A11869" s="57">
        <v>49161607</v>
      </c>
      <c r="B11869" s="58" t="s">
        <v>13313</v>
      </c>
    </row>
    <row r="11870" spans="1:2" x14ac:dyDescent="0.25">
      <c r="A11870" s="57">
        <v>49161608</v>
      </c>
      <c r="B11870" s="58" t="s">
        <v>3570</v>
      </c>
    </row>
    <row r="11871" spans="1:2" x14ac:dyDescent="0.25">
      <c r="A11871" s="57">
        <v>49161609</v>
      </c>
      <c r="B11871" s="58" t="s">
        <v>6245</v>
      </c>
    </row>
    <row r="11872" spans="1:2" x14ac:dyDescent="0.25">
      <c r="A11872" s="57">
        <v>49161610</v>
      </c>
      <c r="B11872" s="58" t="s">
        <v>12688</v>
      </c>
    </row>
    <row r="11873" spans="1:2" x14ac:dyDescent="0.25">
      <c r="A11873" s="57">
        <v>49161611</v>
      </c>
      <c r="B11873" s="58" t="s">
        <v>9438</v>
      </c>
    </row>
    <row r="11874" spans="1:2" x14ac:dyDescent="0.25">
      <c r="A11874" s="57">
        <v>49161612</v>
      </c>
      <c r="B11874" s="58" t="s">
        <v>10299</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17852</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6801</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18662</v>
      </c>
    </row>
    <row r="11902" spans="1:2" x14ac:dyDescent="0.25">
      <c r="A11902" s="57">
        <v>49181505</v>
      </c>
      <c r="B11902" s="58" t="s">
        <v>11518</v>
      </c>
    </row>
    <row r="11903" spans="1:2" x14ac:dyDescent="0.25">
      <c r="A11903" s="57">
        <v>49181506</v>
      </c>
      <c r="B11903" s="58" t="s">
        <v>17563</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6122</v>
      </c>
    </row>
    <row r="11910" spans="1:2" x14ac:dyDescent="0.25">
      <c r="A11910" s="57">
        <v>49181513</v>
      </c>
      <c r="B11910" s="58" t="s">
        <v>14024</v>
      </c>
    </row>
    <row r="11911" spans="1:2" x14ac:dyDescent="0.25">
      <c r="A11911" s="57">
        <v>49181514</v>
      </c>
      <c r="B11911" s="58" t="s">
        <v>12153</v>
      </c>
    </row>
    <row r="11912" spans="1:2" x14ac:dyDescent="0.25">
      <c r="A11912" s="57">
        <v>49181515</v>
      </c>
      <c r="B11912" s="58" t="s">
        <v>14066</v>
      </c>
    </row>
    <row r="11913" spans="1:2" x14ac:dyDescent="0.25">
      <c r="A11913" s="57">
        <v>49181601</v>
      </c>
      <c r="B11913" s="58" t="s">
        <v>9330</v>
      </c>
    </row>
    <row r="11914" spans="1:2" x14ac:dyDescent="0.25">
      <c r="A11914" s="57">
        <v>49181602</v>
      </c>
      <c r="B11914" s="58" t="s">
        <v>18015</v>
      </c>
    </row>
    <row r="11915" spans="1:2" x14ac:dyDescent="0.25">
      <c r="A11915" s="57">
        <v>49181603</v>
      </c>
      <c r="B11915" s="58" t="s">
        <v>6229</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14473</v>
      </c>
    </row>
    <row r="11922" spans="1:2" x14ac:dyDescent="0.25">
      <c r="A11922" s="57">
        <v>49181610</v>
      </c>
      <c r="B11922" s="58" t="s">
        <v>6238</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6003</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14397</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18745</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8108</v>
      </c>
    </row>
    <row r="11948" spans="1:2" x14ac:dyDescent="0.25">
      <c r="A11948" s="57">
        <v>49211604</v>
      </c>
      <c r="B11948" s="58" t="s">
        <v>13409</v>
      </c>
    </row>
    <row r="11949" spans="1:2" x14ac:dyDescent="0.25">
      <c r="A11949" s="57">
        <v>49211605</v>
      </c>
      <c r="B11949" s="58" t="s">
        <v>4494</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5555</v>
      </c>
    </row>
    <row r="11953" spans="1:2" x14ac:dyDescent="0.25">
      <c r="A11953" s="57">
        <v>49211609</v>
      </c>
      <c r="B11953" s="58" t="s">
        <v>6131</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4633</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9358</v>
      </c>
    </row>
    <row r="11965" spans="1:2" x14ac:dyDescent="0.25">
      <c r="A11965" s="57">
        <v>49221502</v>
      </c>
      <c r="B11965" s="58" t="s">
        <v>14194</v>
      </c>
    </row>
    <row r="11966" spans="1:2" x14ac:dyDescent="0.25">
      <c r="A11966" s="57">
        <v>49221503</v>
      </c>
      <c r="B11966" s="58" t="s">
        <v>7169</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14489</v>
      </c>
    </row>
    <row r="11991" spans="1:2" x14ac:dyDescent="0.25">
      <c r="A11991" s="57">
        <v>49241703</v>
      </c>
      <c r="B11991" s="58" t="s">
        <v>17345</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10398</v>
      </c>
    </row>
    <row r="11995" spans="1:2" x14ac:dyDescent="0.25">
      <c r="A11995" s="57">
        <v>49241707</v>
      </c>
      <c r="B11995" s="58" t="s">
        <v>17205</v>
      </c>
    </row>
    <row r="11996" spans="1:2" x14ac:dyDescent="0.25">
      <c r="A11996" s="57">
        <v>49241708</v>
      </c>
      <c r="B11996" s="58" t="s">
        <v>13440</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17445</v>
      </c>
    </row>
    <row r="12011" spans="1:2" x14ac:dyDescent="0.25">
      <c r="A12011" s="57">
        <v>50111510</v>
      </c>
      <c r="B12011" s="58" t="s">
        <v>11389</v>
      </c>
    </row>
    <row r="12012" spans="1:2" x14ac:dyDescent="0.25">
      <c r="A12012" s="57">
        <v>50111511</v>
      </c>
      <c r="B12012" s="58" t="s">
        <v>4945</v>
      </c>
    </row>
    <row r="12013" spans="1:2" x14ac:dyDescent="0.25">
      <c r="A12013" s="57">
        <v>50111512</v>
      </c>
      <c r="B12013" s="58" t="s">
        <v>17661</v>
      </c>
    </row>
    <row r="12014" spans="1:2" x14ac:dyDescent="0.25">
      <c r="A12014" s="57">
        <v>50112001</v>
      </c>
      <c r="B12014" s="58" t="s">
        <v>14322</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7111</v>
      </c>
    </row>
    <row r="12024" spans="1:2" x14ac:dyDescent="0.25">
      <c r="A12024" s="57">
        <v>50121706</v>
      </c>
      <c r="B12024" s="58" t="s">
        <v>10747</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10700</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14086</v>
      </c>
    </row>
    <row r="12066" spans="1:2" x14ac:dyDescent="0.25">
      <c r="A12066" s="57">
        <v>50171904</v>
      </c>
      <c r="B12066" s="58" t="s">
        <v>17215</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10619</v>
      </c>
    </row>
    <row r="12079" spans="1:2" x14ac:dyDescent="0.25">
      <c r="A12079" s="57">
        <v>50182002</v>
      </c>
      <c r="B12079" s="58" t="s">
        <v>7368</v>
      </c>
    </row>
    <row r="12080" spans="1:2" x14ac:dyDescent="0.25">
      <c r="A12080" s="57">
        <v>50182003</v>
      </c>
      <c r="B12080" s="58" t="s">
        <v>9803</v>
      </c>
    </row>
    <row r="12081" spans="1:2" x14ac:dyDescent="0.25">
      <c r="A12081" s="57">
        <v>50182004</v>
      </c>
      <c r="B12081" s="58" t="s">
        <v>17579</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17256</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18769</v>
      </c>
    </row>
    <row r="12090" spans="1:2" x14ac:dyDescent="0.25">
      <c r="A12090" s="57">
        <v>50192302</v>
      </c>
      <c r="B12090" s="58" t="s">
        <v>14916</v>
      </c>
    </row>
    <row r="12091" spans="1:2" x14ac:dyDescent="0.25">
      <c r="A12091" s="57">
        <v>50192303</v>
      </c>
      <c r="B12091" s="58" t="s">
        <v>17334</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13024</v>
      </c>
    </row>
    <row r="12101" spans="1:2" x14ac:dyDescent="0.25">
      <c r="A12101" s="57">
        <v>50192601</v>
      </c>
      <c r="B12101" s="58" t="s">
        <v>17330</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18643</v>
      </c>
    </row>
    <row r="12110" spans="1:2" x14ac:dyDescent="0.25">
      <c r="A12110" s="57">
        <v>50192901</v>
      </c>
      <c r="B12110" s="58" t="s">
        <v>10466</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10392</v>
      </c>
    </row>
    <row r="12125" spans="1:2" x14ac:dyDescent="0.25">
      <c r="A12125" s="57">
        <v>50201709</v>
      </c>
      <c r="B12125" s="58" t="s">
        <v>6913</v>
      </c>
    </row>
    <row r="12126" spans="1:2" x14ac:dyDescent="0.25">
      <c r="A12126" s="57">
        <v>50201710</v>
      </c>
      <c r="B12126" s="58" t="s">
        <v>12490</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6269</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17842</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17341</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13381</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13419</v>
      </c>
    </row>
    <row r="12162" spans="1:2" x14ac:dyDescent="0.25">
      <c r="A12162" s="57">
        <v>50221101</v>
      </c>
      <c r="B12162" s="58" t="s">
        <v>6764</v>
      </c>
    </row>
    <row r="12163" spans="1:2" x14ac:dyDescent="0.25">
      <c r="A12163" s="57">
        <v>50221102</v>
      </c>
      <c r="B12163" s="58" t="s">
        <v>17577</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14518</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17317</v>
      </c>
    </row>
    <row r="12177" spans="1:2" x14ac:dyDescent="0.25">
      <c r="A12177" s="57">
        <v>51101516</v>
      </c>
      <c r="B12177" s="58" t="s">
        <v>12602</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12527</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12386</v>
      </c>
    </row>
    <row r="12192" spans="1:2" x14ac:dyDescent="0.25">
      <c r="A12192" s="57">
        <v>51101534</v>
      </c>
      <c r="B12192" s="58" t="s">
        <v>17300</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10295</v>
      </c>
    </row>
    <row r="12197" spans="1:2" x14ac:dyDescent="0.25">
      <c r="A12197" s="57">
        <v>51101539</v>
      </c>
      <c r="B12197" s="58" t="s">
        <v>17815</v>
      </c>
    </row>
    <row r="12198" spans="1:2" x14ac:dyDescent="0.25">
      <c r="A12198" s="57">
        <v>51101540</v>
      </c>
      <c r="B12198" s="58" t="s">
        <v>9833</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8488</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17682</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11662</v>
      </c>
    </row>
    <row r="12228" spans="1:2" x14ac:dyDescent="0.25">
      <c r="A12228" s="57">
        <v>51101570</v>
      </c>
      <c r="B12228" s="58" t="s">
        <v>18568</v>
      </c>
    </row>
    <row r="12229" spans="1:2" x14ac:dyDescent="0.25">
      <c r="A12229" s="57">
        <v>51101571</v>
      </c>
      <c r="B12229" s="58" t="s">
        <v>11808</v>
      </c>
    </row>
    <row r="12230" spans="1:2" x14ac:dyDescent="0.25">
      <c r="A12230" s="57">
        <v>51101572</v>
      </c>
      <c r="B12230" s="58" t="s">
        <v>9606</v>
      </c>
    </row>
    <row r="12231" spans="1:2" x14ac:dyDescent="0.25">
      <c r="A12231" s="57">
        <v>51101573</v>
      </c>
      <c r="B12231" s="58" t="s">
        <v>13131</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13429</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13917</v>
      </c>
    </row>
    <row r="12254" spans="1:2" x14ac:dyDescent="0.25">
      <c r="A12254" s="57">
        <v>51101596</v>
      </c>
      <c r="B12254" s="58" t="s">
        <v>5288</v>
      </c>
    </row>
    <row r="12255" spans="1:2" x14ac:dyDescent="0.25">
      <c r="A12255" s="57">
        <v>51101597</v>
      </c>
      <c r="B12255" s="58" t="s">
        <v>153</v>
      </c>
    </row>
    <row r="12256" spans="1:2" x14ac:dyDescent="0.25">
      <c r="A12256" s="57">
        <v>51101598</v>
      </c>
      <c r="B12256" s="58" t="s">
        <v>17699</v>
      </c>
    </row>
    <row r="12257" spans="1:2" x14ac:dyDescent="0.25">
      <c r="A12257" s="57">
        <v>51101599</v>
      </c>
      <c r="B12257" s="58" t="s">
        <v>15464</v>
      </c>
    </row>
    <row r="12258" spans="1:2" x14ac:dyDescent="0.25">
      <c r="A12258" s="57">
        <v>51101601</v>
      </c>
      <c r="B12258" s="58" t="s">
        <v>12700</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6141</v>
      </c>
    </row>
    <row r="12269" spans="1:2" x14ac:dyDescent="0.25">
      <c r="A12269" s="57">
        <v>51101616</v>
      </c>
      <c r="B12269" s="58" t="s">
        <v>17219</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5950</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17409</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17817</v>
      </c>
    </row>
    <row r="12304" spans="1:2" x14ac:dyDescent="0.25">
      <c r="A12304" s="57">
        <v>51101807</v>
      </c>
      <c r="B12304" s="58" t="s">
        <v>8935</v>
      </c>
    </row>
    <row r="12305" spans="1:2" x14ac:dyDescent="0.25">
      <c r="A12305" s="57">
        <v>51101808</v>
      </c>
      <c r="B12305" s="58" t="s">
        <v>12511</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6067</v>
      </c>
    </row>
    <row r="12310" spans="1:2" x14ac:dyDescent="0.25">
      <c r="A12310" s="57">
        <v>51101813</v>
      </c>
      <c r="B12310" s="58" t="s">
        <v>14640</v>
      </c>
    </row>
    <row r="12311" spans="1:2" x14ac:dyDescent="0.25">
      <c r="A12311" s="57">
        <v>51101814</v>
      </c>
      <c r="B12311" s="58" t="s">
        <v>12799</v>
      </c>
    </row>
    <row r="12312" spans="1:2" x14ac:dyDescent="0.25">
      <c r="A12312" s="57">
        <v>51101815</v>
      </c>
      <c r="B12312" s="58" t="s">
        <v>17276</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11912</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13177</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12222</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14691</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14426</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9823</v>
      </c>
    </row>
    <row r="12360" spans="1:2" x14ac:dyDescent="0.25">
      <c r="A12360" s="57">
        <v>51102207</v>
      </c>
      <c r="B12360" s="58" t="s">
        <v>4398</v>
      </c>
    </row>
    <row r="12361" spans="1:2" x14ac:dyDescent="0.25">
      <c r="A12361" s="57">
        <v>51102208</v>
      </c>
      <c r="B12361" s="58" t="s">
        <v>10843</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12748</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17319</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18820</v>
      </c>
    </row>
    <row r="12390" spans="1:2" x14ac:dyDescent="0.25">
      <c r="A12390" s="57">
        <v>51102326</v>
      </c>
      <c r="B12390" s="58" t="s">
        <v>5462</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3738</v>
      </c>
    </row>
    <row r="12401" spans="1:2" x14ac:dyDescent="0.25">
      <c r="A12401" s="57">
        <v>51102402</v>
      </c>
      <c r="B12401" s="58" t="s">
        <v>18682</v>
      </c>
    </row>
    <row r="12402" spans="1:2" x14ac:dyDescent="0.25">
      <c r="A12402" s="57">
        <v>51102501</v>
      </c>
      <c r="B12402" s="58" t="s">
        <v>4308</v>
      </c>
    </row>
    <row r="12403" spans="1:2" x14ac:dyDescent="0.25">
      <c r="A12403" s="57">
        <v>51102502</v>
      </c>
      <c r="B12403" s="58" t="s">
        <v>12621</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12371</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14715</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13187</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12064</v>
      </c>
    </row>
    <row r="12422" spans="1:2" x14ac:dyDescent="0.25">
      <c r="A12422" s="57">
        <v>51102717</v>
      </c>
      <c r="B12422" s="58" t="s">
        <v>8775</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14631</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17713</v>
      </c>
    </row>
    <row r="12429" spans="1:2" x14ac:dyDescent="0.25">
      <c r="A12429" s="57">
        <v>51102724</v>
      </c>
      <c r="B12429" s="58" t="s">
        <v>7499</v>
      </c>
    </row>
    <row r="12430" spans="1:2" x14ac:dyDescent="0.25">
      <c r="A12430" s="57">
        <v>51102725</v>
      </c>
      <c r="B12430" s="58" t="s">
        <v>13453</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5832</v>
      </c>
    </row>
    <row r="12438" spans="1:2" x14ac:dyDescent="0.25">
      <c r="A12438" s="57">
        <v>51111503</v>
      </c>
      <c r="B12438" s="58" t="s">
        <v>6840</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10538</v>
      </c>
    </row>
    <row r="12443" spans="1:2" x14ac:dyDescent="0.25">
      <c r="A12443" s="57">
        <v>51111508</v>
      </c>
      <c r="B12443" s="58" t="s">
        <v>5062</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17527</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18829</v>
      </c>
    </row>
    <row r="12458" spans="1:2" x14ac:dyDescent="0.25">
      <c r="A12458" s="57">
        <v>51111602</v>
      </c>
      <c r="B12458" s="58" t="s">
        <v>12410</v>
      </c>
    </row>
    <row r="12459" spans="1:2" x14ac:dyDescent="0.25">
      <c r="A12459" s="57">
        <v>51111603</v>
      </c>
      <c r="B12459" s="58" t="s">
        <v>4908</v>
      </c>
    </row>
    <row r="12460" spans="1:2" x14ac:dyDescent="0.25">
      <c r="A12460" s="57">
        <v>51111604</v>
      </c>
      <c r="B12460" s="58" t="s">
        <v>14535</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11781</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6181</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18330</v>
      </c>
    </row>
    <row r="12500" spans="1:2" x14ac:dyDescent="0.25">
      <c r="A12500" s="57">
        <v>51111809</v>
      </c>
      <c r="B12500" s="58" t="s">
        <v>14742</v>
      </c>
    </row>
    <row r="12501" spans="1:2" x14ac:dyDescent="0.25">
      <c r="A12501" s="57">
        <v>51111810</v>
      </c>
      <c r="B12501" s="58" t="s">
        <v>18793</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6181</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17663</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9344</v>
      </c>
    </row>
    <row r="12511" spans="1:2" x14ac:dyDescent="0.25">
      <c r="A12511" s="57">
        <v>51111820</v>
      </c>
      <c r="B12511" s="58" t="s">
        <v>14301</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18678</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5909</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9566</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13513</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17382</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8366</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4860</v>
      </c>
    </row>
    <row r="12559" spans="1:2" x14ac:dyDescent="0.25">
      <c r="A12559" s="57">
        <v>51121708</v>
      </c>
      <c r="B12559" s="58" t="s">
        <v>13763</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12089</v>
      </c>
    </row>
    <row r="12600" spans="1:2" x14ac:dyDescent="0.25">
      <c r="A12600" s="57">
        <v>51121754</v>
      </c>
      <c r="B12600" s="58" t="s">
        <v>7712</v>
      </c>
    </row>
    <row r="12601" spans="1:2" x14ac:dyDescent="0.25">
      <c r="A12601" s="57">
        <v>51121755</v>
      </c>
      <c r="B12601" s="58" t="s">
        <v>13337</v>
      </c>
    </row>
    <row r="12602" spans="1:2" x14ac:dyDescent="0.25">
      <c r="A12602" s="57">
        <v>51121756</v>
      </c>
      <c r="B12602" s="58" t="s">
        <v>12403</v>
      </c>
    </row>
    <row r="12603" spans="1:2" x14ac:dyDescent="0.25">
      <c r="A12603" s="57">
        <v>51121757</v>
      </c>
      <c r="B12603" s="58" t="s">
        <v>13433</v>
      </c>
    </row>
    <row r="12604" spans="1:2" x14ac:dyDescent="0.25">
      <c r="A12604" s="57">
        <v>51121758</v>
      </c>
      <c r="B12604" s="58" t="s">
        <v>17323</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13443</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17411</v>
      </c>
    </row>
    <row r="12615" spans="1:2" x14ac:dyDescent="0.25">
      <c r="A12615" s="57">
        <v>51121804</v>
      </c>
      <c r="B12615" s="58" t="s">
        <v>4230</v>
      </c>
    </row>
    <row r="12616" spans="1:2" x14ac:dyDescent="0.25">
      <c r="A12616" s="57">
        <v>51121805</v>
      </c>
      <c r="B12616" s="58" t="s">
        <v>10995</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14381</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4084</v>
      </c>
    </row>
    <row r="12627" spans="1:2" x14ac:dyDescent="0.25">
      <c r="A12627" s="57">
        <v>51121816</v>
      </c>
      <c r="B12627" s="58" t="s">
        <v>14359</v>
      </c>
    </row>
    <row r="12628" spans="1:2" x14ac:dyDescent="0.25">
      <c r="A12628" s="57">
        <v>51121817</v>
      </c>
      <c r="B12628" s="58" t="s">
        <v>3897</v>
      </c>
    </row>
    <row r="12629" spans="1:2" x14ac:dyDescent="0.25">
      <c r="A12629" s="57">
        <v>51121818</v>
      </c>
      <c r="B12629" s="58" t="s">
        <v>13567</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11770</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10633</v>
      </c>
    </row>
    <row r="12659" spans="1:2" x14ac:dyDescent="0.25">
      <c r="A12659" s="57">
        <v>51131507</v>
      </c>
      <c r="B12659" s="58" t="s">
        <v>5890</v>
      </c>
    </row>
    <row r="12660" spans="1:2" x14ac:dyDescent="0.25">
      <c r="A12660" s="57">
        <v>51131508</v>
      </c>
      <c r="B12660" s="58" t="s">
        <v>4222</v>
      </c>
    </row>
    <row r="12661" spans="1:2" x14ac:dyDescent="0.25">
      <c r="A12661" s="57">
        <v>51131509</v>
      </c>
      <c r="B12661" s="58" t="s">
        <v>12728</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17344</v>
      </c>
    </row>
    <row r="12667" spans="1:2" x14ac:dyDescent="0.25">
      <c r="A12667" s="57">
        <v>51131515</v>
      </c>
      <c r="B12667" s="58" t="s">
        <v>5632</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17802</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18753</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4318</v>
      </c>
    </row>
    <row r="12710" spans="1:2" x14ac:dyDescent="0.25">
      <c r="A12710" s="57">
        <v>51131809</v>
      </c>
      <c r="B12710" s="58" t="s">
        <v>17642</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14617</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13704</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12970</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13967</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10899</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13848</v>
      </c>
    </row>
    <row r="12760" spans="1:2" x14ac:dyDescent="0.25">
      <c r="A12760" s="57">
        <v>51141607</v>
      </c>
      <c r="B12760" s="58" t="s">
        <v>3193</v>
      </c>
    </row>
    <row r="12761" spans="1:2" x14ac:dyDescent="0.25">
      <c r="A12761" s="57">
        <v>51141608</v>
      </c>
      <c r="B12761" s="58" t="s">
        <v>14738</v>
      </c>
    </row>
    <row r="12762" spans="1:2" x14ac:dyDescent="0.25">
      <c r="A12762" s="57">
        <v>51141609</v>
      </c>
      <c r="B12762" s="58" t="s">
        <v>7167</v>
      </c>
    </row>
    <row r="12763" spans="1:2" x14ac:dyDescent="0.25">
      <c r="A12763" s="57">
        <v>51141610</v>
      </c>
      <c r="B12763" s="58" t="s">
        <v>12110</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14076</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6243</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17794</v>
      </c>
    </row>
    <row r="12784" spans="1:2" x14ac:dyDescent="0.25">
      <c r="A12784" s="57">
        <v>51141631</v>
      </c>
      <c r="B12784" s="58" t="s">
        <v>5796</v>
      </c>
    </row>
    <row r="12785" spans="1:2" x14ac:dyDescent="0.25">
      <c r="A12785" s="57">
        <v>51141632</v>
      </c>
      <c r="B12785" s="58" t="s">
        <v>12840</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14608</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3908</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6017</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6170</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6040</v>
      </c>
    </row>
    <row r="12837" spans="1:2" x14ac:dyDescent="0.25">
      <c r="A12837" s="57">
        <v>51141822</v>
      </c>
      <c r="B12837" s="58" t="s">
        <v>13007</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7448</v>
      </c>
    </row>
    <row r="12843" spans="1:2" x14ac:dyDescent="0.25">
      <c r="A12843" s="57">
        <v>51141911</v>
      </c>
      <c r="B12843" s="58" t="s">
        <v>6218</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13504</v>
      </c>
    </row>
    <row r="12858" spans="1:2" x14ac:dyDescent="0.25">
      <c r="A12858" s="57">
        <v>51142004</v>
      </c>
      <c r="B12858" s="58" t="s">
        <v>3869</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12364</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18763</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6146</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11848</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5956</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11861</v>
      </c>
    </row>
    <row r="12922" spans="1:2" x14ac:dyDescent="0.25">
      <c r="A12922" s="57">
        <v>51142205</v>
      </c>
      <c r="B12922" s="58" t="s">
        <v>6636</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10710</v>
      </c>
    </row>
    <row r="12930" spans="1:2" x14ac:dyDescent="0.25">
      <c r="A12930" s="57">
        <v>51142213</v>
      </c>
      <c r="B12930" s="58" t="s">
        <v>7203</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11609</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17564</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6153</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4980</v>
      </c>
    </row>
    <row r="12966" spans="1:2" x14ac:dyDescent="0.25">
      <c r="A12966" s="57">
        <v>51142407</v>
      </c>
      <c r="B12966" s="58" t="s">
        <v>14653</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12048</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14633</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11729</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13646</v>
      </c>
    </row>
    <row r="12991" spans="1:2" x14ac:dyDescent="0.25">
      <c r="A12991" s="57">
        <v>51142608</v>
      </c>
      <c r="B12991" s="58" t="s">
        <v>11648</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17847</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14548</v>
      </c>
    </row>
    <row r="13006" spans="1:2" x14ac:dyDescent="0.25">
      <c r="A13006" s="57">
        <v>51142901</v>
      </c>
      <c r="B13006" s="58" t="s">
        <v>4855</v>
      </c>
    </row>
    <row r="13007" spans="1:2" x14ac:dyDescent="0.25">
      <c r="A13007" s="57">
        <v>51142902</v>
      </c>
      <c r="B13007" s="58" t="s">
        <v>13613</v>
      </c>
    </row>
    <row r="13008" spans="1:2" x14ac:dyDescent="0.25">
      <c r="A13008" s="57">
        <v>51142903</v>
      </c>
      <c r="B13008" s="58" t="s">
        <v>3403</v>
      </c>
    </row>
    <row r="13009" spans="1:2" x14ac:dyDescent="0.25">
      <c r="A13009" s="57">
        <v>51142904</v>
      </c>
      <c r="B13009" s="58" t="s">
        <v>17226</v>
      </c>
    </row>
    <row r="13010" spans="1:2" x14ac:dyDescent="0.25">
      <c r="A13010" s="57">
        <v>51142905</v>
      </c>
      <c r="B13010" s="58" t="s">
        <v>13188</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18759</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13683</v>
      </c>
    </row>
    <row r="13020" spans="1:2" x14ac:dyDescent="0.25">
      <c r="A13020" s="57">
        <v>51142915</v>
      </c>
      <c r="B13020" s="58" t="s">
        <v>12697</v>
      </c>
    </row>
    <row r="13021" spans="1:2" x14ac:dyDescent="0.25">
      <c r="A13021" s="57">
        <v>51142916</v>
      </c>
      <c r="B13021" s="58" t="s">
        <v>7687</v>
      </c>
    </row>
    <row r="13022" spans="1:2" x14ac:dyDescent="0.25">
      <c r="A13022" s="57">
        <v>51142917</v>
      </c>
      <c r="B13022" s="58" t="s">
        <v>10042</v>
      </c>
    </row>
    <row r="13023" spans="1:2" x14ac:dyDescent="0.25">
      <c r="A13023" s="57">
        <v>51142918</v>
      </c>
      <c r="B13023" s="58" t="s">
        <v>8020</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14468</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14763</v>
      </c>
    </row>
    <row r="13045" spans="1:2" x14ac:dyDescent="0.25">
      <c r="A13045" s="57">
        <v>51142940</v>
      </c>
      <c r="B13045" s="58" t="s">
        <v>17770</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12639</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13346</v>
      </c>
    </row>
    <row r="13063" spans="1:2" x14ac:dyDescent="0.25">
      <c r="A13063" s="57">
        <v>51151511</v>
      </c>
      <c r="B13063" s="58" t="s">
        <v>17656</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12866</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6013</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11357</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6206</v>
      </c>
    </row>
    <row r="13130" spans="1:2" x14ac:dyDescent="0.25">
      <c r="A13130" s="57">
        <v>51151744</v>
      </c>
      <c r="B13130" s="58" t="s">
        <v>5073</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8172</v>
      </c>
    </row>
    <row r="13137" spans="1:2" x14ac:dyDescent="0.25">
      <c r="A13137" s="57">
        <v>51151802</v>
      </c>
      <c r="B13137" s="58" t="s">
        <v>17859</v>
      </c>
    </row>
    <row r="13138" spans="1:2" x14ac:dyDescent="0.25">
      <c r="A13138" s="57">
        <v>51151803</v>
      </c>
      <c r="B13138" s="58" t="s">
        <v>7116</v>
      </c>
    </row>
    <row r="13139" spans="1:2" x14ac:dyDescent="0.25">
      <c r="A13139" s="57">
        <v>51151804</v>
      </c>
      <c r="B13139" s="58" t="s">
        <v>14671</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4373</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17550</v>
      </c>
    </row>
    <row r="13153" spans="1:2" x14ac:dyDescent="0.25">
      <c r="A13153" s="57">
        <v>51151822</v>
      </c>
      <c r="B13153" s="58" t="s">
        <v>14510</v>
      </c>
    </row>
    <row r="13154" spans="1:2" x14ac:dyDescent="0.25">
      <c r="A13154" s="57">
        <v>51151823</v>
      </c>
      <c r="B13154" s="58" t="s">
        <v>17211</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11487</v>
      </c>
    </row>
    <row r="13158" spans="1:2" x14ac:dyDescent="0.25">
      <c r="A13158" s="57">
        <v>51151902</v>
      </c>
      <c r="B13158" s="58" t="s">
        <v>8225</v>
      </c>
    </row>
    <row r="13159" spans="1:2" x14ac:dyDescent="0.25">
      <c r="A13159" s="57">
        <v>51151903</v>
      </c>
      <c r="B13159" s="58" t="s">
        <v>13036</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17282</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5827</v>
      </c>
    </row>
    <row r="13169" spans="1:2" x14ac:dyDescent="0.25">
      <c r="A13169" s="57">
        <v>51151914</v>
      </c>
      <c r="B13169" s="58" t="s">
        <v>10623</v>
      </c>
    </row>
    <row r="13170" spans="1:2" x14ac:dyDescent="0.25">
      <c r="A13170" s="57">
        <v>51151915</v>
      </c>
      <c r="B13170" s="58" t="s">
        <v>17398</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17522</v>
      </c>
    </row>
    <row r="13178" spans="1:2" x14ac:dyDescent="0.25">
      <c r="A13178" s="57">
        <v>51152006</v>
      </c>
      <c r="B13178" s="58" t="s">
        <v>4488</v>
      </c>
    </row>
    <row r="13179" spans="1:2" x14ac:dyDescent="0.25">
      <c r="A13179" s="57">
        <v>51152007</v>
      </c>
      <c r="B13179" s="58" t="s">
        <v>17214</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12649</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11645</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4270</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17724</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11164</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6240</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18782</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17401</v>
      </c>
    </row>
    <row r="13235" spans="1:2" x14ac:dyDescent="0.25">
      <c r="A13235" s="57">
        <v>51161637</v>
      </c>
      <c r="B13235" s="58" t="s">
        <v>7931</v>
      </c>
    </row>
    <row r="13236" spans="1:2" x14ac:dyDescent="0.25">
      <c r="A13236" s="57">
        <v>51161638</v>
      </c>
      <c r="B13236" s="58" t="s">
        <v>12661</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14090</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5872</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9104</v>
      </c>
    </row>
    <row r="13269" spans="1:2" x14ac:dyDescent="0.25">
      <c r="A13269" s="57">
        <v>51161818</v>
      </c>
      <c r="B13269" s="58" t="s">
        <v>14431</v>
      </c>
    </row>
    <row r="13270" spans="1:2" x14ac:dyDescent="0.25">
      <c r="A13270" s="57">
        <v>51161819</v>
      </c>
      <c r="B13270" s="58" t="s">
        <v>12825</v>
      </c>
    </row>
    <row r="13271" spans="1:2" x14ac:dyDescent="0.25">
      <c r="A13271" s="57">
        <v>51161820</v>
      </c>
      <c r="B13271" s="58" t="s">
        <v>14233</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6217</v>
      </c>
    </row>
    <row r="13278" spans="1:2" x14ac:dyDescent="0.25">
      <c r="A13278" s="57">
        <v>51171505</v>
      </c>
      <c r="B13278" s="58" t="s">
        <v>3745</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13908</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17012</v>
      </c>
    </row>
    <row r="13286" spans="1:2" x14ac:dyDescent="0.25">
      <c r="A13286" s="57">
        <v>51171602</v>
      </c>
      <c r="B13286" s="58" t="s">
        <v>6163</v>
      </c>
    </row>
    <row r="13287" spans="1:2" x14ac:dyDescent="0.25">
      <c r="A13287" s="57">
        <v>51171603</v>
      </c>
      <c r="B13287" s="58" t="s">
        <v>5868</v>
      </c>
    </row>
    <row r="13288" spans="1:2" x14ac:dyDescent="0.25">
      <c r="A13288" s="57">
        <v>51171604</v>
      </c>
      <c r="B13288" s="58" t="s">
        <v>5563</v>
      </c>
    </row>
    <row r="13289" spans="1:2" x14ac:dyDescent="0.25">
      <c r="A13289" s="57">
        <v>51171605</v>
      </c>
      <c r="B13289" s="58" t="s">
        <v>14545</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6254</v>
      </c>
    </row>
    <row r="13300" spans="1:2" x14ac:dyDescent="0.25">
      <c r="A13300" s="57">
        <v>51171616</v>
      </c>
      <c r="B13300" s="58" t="s">
        <v>9414</v>
      </c>
    </row>
    <row r="13301" spans="1:2" x14ac:dyDescent="0.25">
      <c r="A13301" s="57">
        <v>51171617</v>
      </c>
      <c r="B13301" s="58" t="s">
        <v>13680</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6207</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18667</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11634</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8995</v>
      </c>
    </row>
    <row r="13363" spans="1:2" x14ac:dyDescent="0.25">
      <c r="A13363" s="57">
        <v>51171916</v>
      </c>
      <c r="B13363" s="58" t="s">
        <v>17222</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12059</v>
      </c>
    </row>
    <row r="13375" spans="1:2" x14ac:dyDescent="0.25">
      <c r="A13375" s="57">
        <v>51172107</v>
      </c>
      <c r="B13375" s="58" t="s">
        <v>8077</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6058</v>
      </c>
    </row>
    <row r="13381" spans="1:2" x14ac:dyDescent="0.25">
      <c r="A13381" s="57">
        <v>51181502</v>
      </c>
      <c r="B13381" s="58" t="s">
        <v>4162</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5971</v>
      </c>
    </row>
    <row r="13385" spans="1:2" x14ac:dyDescent="0.25">
      <c r="A13385" s="57">
        <v>51181506</v>
      </c>
      <c r="B13385" s="58" t="s">
        <v>4625</v>
      </c>
    </row>
    <row r="13386" spans="1:2" x14ac:dyDescent="0.25">
      <c r="A13386" s="57">
        <v>51181508</v>
      </c>
      <c r="B13386" s="58" t="s">
        <v>14434</v>
      </c>
    </row>
    <row r="13387" spans="1:2" x14ac:dyDescent="0.25">
      <c r="A13387" s="57">
        <v>51181509</v>
      </c>
      <c r="B13387" s="58" t="s">
        <v>12554</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17447</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6190</v>
      </c>
    </row>
    <row r="13398" spans="1:2" x14ac:dyDescent="0.25">
      <c r="A13398" s="57">
        <v>51181522</v>
      </c>
      <c r="B13398" s="58" t="s">
        <v>12805</v>
      </c>
    </row>
    <row r="13399" spans="1:2" x14ac:dyDescent="0.25">
      <c r="A13399" s="57">
        <v>51181523</v>
      </c>
      <c r="B13399" s="58" t="s">
        <v>7960</v>
      </c>
    </row>
    <row r="13400" spans="1:2" x14ac:dyDescent="0.25">
      <c r="A13400" s="57">
        <v>51181524</v>
      </c>
      <c r="B13400" s="58" t="s">
        <v>18754</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6005</v>
      </c>
    </row>
    <row r="13407" spans="1:2" x14ac:dyDescent="0.25">
      <c r="A13407" s="57">
        <v>51181607</v>
      </c>
      <c r="B13407" s="58" t="s">
        <v>5805</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13994</v>
      </c>
    </row>
    <row r="13418" spans="1:2" x14ac:dyDescent="0.25">
      <c r="A13418" s="57">
        <v>51181709</v>
      </c>
      <c r="B13418" s="58" t="s">
        <v>12101</v>
      </c>
    </row>
    <row r="13419" spans="1:2" x14ac:dyDescent="0.25">
      <c r="A13419" s="57">
        <v>51181710</v>
      </c>
      <c r="B13419" s="58" t="s">
        <v>13753</v>
      </c>
    </row>
    <row r="13420" spans="1:2" x14ac:dyDescent="0.25">
      <c r="A13420" s="57">
        <v>51181711</v>
      </c>
      <c r="B13420" s="58" t="s">
        <v>4780</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14497</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10000</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8115</v>
      </c>
    </row>
    <row r="13445" spans="1:2" x14ac:dyDescent="0.25">
      <c r="A13445" s="57">
        <v>51181736</v>
      </c>
      <c r="B13445" s="58" t="s">
        <v>17489</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5850</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18798</v>
      </c>
    </row>
    <row r="13462" spans="1:2" x14ac:dyDescent="0.25">
      <c r="A13462" s="57">
        <v>51181753</v>
      </c>
      <c r="B13462" s="58" t="s">
        <v>13030</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14499</v>
      </c>
    </row>
    <row r="13489" spans="1:2" x14ac:dyDescent="0.25">
      <c r="A13489" s="57">
        <v>51181826</v>
      </c>
      <c r="B13489" s="58" t="s">
        <v>9316</v>
      </c>
    </row>
    <row r="13490" spans="1:2" x14ac:dyDescent="0.25">
      <c r="A13490" s="57">
        <v>51181827</v>
      </c>
      <c r="B13490" s="58" t="s">
        <v>18715</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4057</v>
      </c>
    </row>
    <row r="13494" spans="1:2" x14ac:dyDescent="0.25">
      <c r="A13494" s="57">
        <v>51181831</v>
      </c>
      <c r="B13494" s="58" t="s">
        <v>13691</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14599</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9964</v>
      </c>
    </row>
    <row r="13515" spans="1:2" x14ac:dyDescent="0.25">
      <c r="A13515" s="57">
        <v>51182008</v>
      </c>
      <c r="B13515" s="58" t="s">
        <v>17578</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11208</v>
      </c>
    </row>
    <row r="13519" spans="1:2" x14ac:dyDescent="0.25">
      <c r="A13519" s="57">
        <v>51182012</v>
      </c>
      <c r="B13519" s="58" t="s">
        <v>6896</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11978</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11097</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11319</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17361</v>
      </c>
    </row>
    <row r="13559" spans="1:2" x14ac:dyDescent="0.25">
      <c r="A13559" s="57">
        <v>51191510</v>
      </c>
      <c r="B13559" s="58" t="s">
        <v>9517</v>
      </c>
    </row>
    <row r="13560" spans="1:2" x14ac:dyDescent="0.25">
      <c r="A13560" s="57">
        <v>51191511</v>
      </c>
      <c r="B13560" s="58" t="s">
        <v>6091</v>
      </c>
    </row>
    <row r="13561" spans="1:2" x14ac:dyDescent="0.25">
      <c r="A13561" s="57">
        <v>51191512</v>
      </c>
      <c r="B13561" s="58" t="s">
        <v>2431</v>
      </c>
    </row>
    <row r="13562" spans="1:2" x14ac:dyDescent="0.25">
      <c r="A13562" s="57">
        <v>51191513</v>
      </c>
      <c r="B13562" s="58" t="s">
        <v>17228</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17638</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12528</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18695</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5863</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6166</v>
      </c>
    </row>
    <row r="13645" spans="1:2" x14ac:dyDescent="0.25">
      <c r="A13645" s="57">
        <v>51201634</v>
      </c>
      <c r="B13645" s="58" t="s">
        <v>13070</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18669</v>
      </c>
    </row>
    <row r="13659" spans="1:2" x14ac:dyDescent="0.25">
      <c r="A13659" s="57">
        <v>51201802</v>
      </c>
      <c r="B13659" s="58" t="s">
        <v>12981</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17687</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15046</v>
      </c>
    </row>
    <row r="13679" spans="1:2" x14ac:dyDescent="0.25">
      <c r="A13679" s="57">
        <v>51211607</v>
      </c>
      <c r="B13679" s="58" t="s">
        <v>12361</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17505</v>
      </c>
    </row>
    <row r="13683" spans="1:2" x14ac:dyDescent="0.25">
      <c r="A13683" s="57">
        <v>51211611</v>
      </c>
      <c r="B13683" s="58" t="s">
        <v>14068</v>
      </c>
    </row>
    <row r="13684" spans="1:2" x14ac:dyDescent="0.25">
      <c r="A13684" s="57">
        <v>51211612</v>
      </c>
      <c r="B13684" s="58" t="s">
        <v>7336</v>
      </c>
    </row>
    <row r="13685" spans="1:2" x14ac:dyDescent="0.25">
      <c r="A13685" s="57">
        <v>51211613</v>
      </c>
      <c r="B13685" s="58" t="s">
        <v>9754</v>
      </c>
    </row>
    <row r="13686" spans="1:2" x14ac:dyDescent="0.25">
      <c r="A13686" s="57">
        <v>51211615</v>
      </c>
      <c r="B13686" s="58" t="s">
        <v>5146</v>
      </c>
    </row>
    <row r="13687" spans="1:2" x14ac:dyDescent="0.25">
      <c r="A13687" s="57">
        <v>51211616</v>
      </c>
      <c r="B13687" s="58" t="s">
        <v>10882</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8504</v>
      </c>
    </row>
    <row r="13698" spans="1:2" x14ac:dyDescent="0.25">
      <c r="A13698" s="57">
        <v>51212001</v>
      </c>
      <c r="B13698" s="58" t="s">
        <v>14467</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13532</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18651</v>
      </c>
    </row>
    <row r="13718" spans="1:2" x14ac:dyDescent="0.25">
      <c r="A13718" s="57">
        <v>51212022</v>
      </c>
      <c r="B13718" s="58" t="s">
        <v>12201</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5900</v>
      </c>
    </row>
    <row r="13733" spans="1:2" x14ac:dyDescent="0.25">
      <c r="A13733" s="57">
        <v>51212101</v>
      </c>
      <c r="B13733" s="58" t="s">
        <v>17528</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9971</v>
      </c>
    </row>
    <row r="13739" spans="1:2" x14ac:dyDescent="0.25">
      <c r="A13739" s="57">
        <v>51212303</v>
      </c>
      <c r="B13739" s="58" t="s">
        <v>4913</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6297</v>
      </c>
    </row>
    <row r="13743" spans="1:2" x14ac:dyDescent="0.25">
      <c r="A13743" s="57">
        <v>51212307</v>
      </c>
      <c r="B13743" s="58" t="s">
        <v>6094</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5844</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17349</v>
      </c>
    </row>
    <row r="13769" spans="1:2" x14ac:dyDescent="0.25">
      <c r="A13769" s="57">
        <v>51241120</v>
      </c>
      <c r="B13769" s="58" t="s">
        <v>8940</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7328</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6248</v>
      </c>
    </row>
    <row r="13784" spans="1:2" x14ac:dyDescent="0.25">
      <c r="A13784" s="57">
        <v>51241215</v>
      </c>
      <c r="B13784" s="58" t="s">
        <v>18813</v>
      </c>
    </row>
    <row r="13785" spans="1:2" x14ac:dyDescent="0.25">
      <c r="A13785" s="57">
        <v>51241216</v>
      </c>
      <c r="B13785" s="58" t="s">
        <v>5017</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17217</v>
      </c>
    </row>
    <row r="13798" spans="1:2" x14ac:dyDescent="0.25">
      <c r="A13798" s="57">
        <v>51241229</v>
      </c>
      <c r="B13798" s="58" t="s">
        <v>14088</v>
      </c>
    </row>
    <row r="13799" spans="1:2" x14ac:dyDescent="0.25">
      <c r="A13799" s="57">
        <v>51241301</v>
      </c>
      <c r="B13799" s="58" t="s">
        <v>17622</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12246</v>
      </c>
    </row>
    <row r="13804" spans="1:2" x14ac:dyDescent="0.25">
      <c r="A13804" s="57">
        <v>51251001</v>
      </c>
      <c r="B13804" s="58" t="s">
        <v>17741</v>
      </c>
    </row>
    <row r="13805" spans="1:2" x14ac:dyDescent="0.25">
      <c r="A13805" s="57">
        <v>52101501</v>
      </c>
      <c r="B13805" s="58" t="s">
        <v>2148</v>
      </c>
    </row>
    <row r="13806" spans="1:2" x14ac:dyDescent="0.25">
      <c r="A13806" s="57">
        <v>52101502</v>
      </c>
      <c r="B13806" s="58" t="s">
        <v>18660</v>
      </c>
    </row>
    <row r="13807" spans="1:2" x14ac:dyDescent="0.25">
      <c r="A13807" s="57">
        <v>52101503</v>
      </c>
      <c r="B13807" s="58" t="s">
        <v>5997</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5371</v>
      </c>
    </row>
    <row r="13812" spans="1:2" x14ac:dyDescent="0.25">
      <c r="A13812" s="57">
        <v>52101508</v>
      </c>
      <c r="B13812" s="58" t="s">
        <v>13633</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12148</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17733</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17695</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13075</v>
      </c>
    </row>
    <row r="13842" spans="1:2" x14ac:dyDescent="0.25">
      <c r="A13842" s="57">
        <v>52121704</v>
      </c>
      <c r="B13842" s="58" t="s">
        <v>7285</v>
      </c>
    </row>
    <row r="13843" spans="1:2" x14ac:dyDescent="0.25">
      <c r="A13843" s="57">
        <v>52131501</v>
      </c>
      <c r="B13843" s="58" t="s">
        <v>13956</v>
      </c>
    </row>
    <row r="13844" spans="1:2" x14ac:dyDescent="0.25">
      <c r="A13844" s="57">
        <v>52131503</v>
      </c>
      <c r="B13844" s="58" t="s">
        <v>3084</v>
      </c>
    </row>
    <row r="13845" spans="1:2" x14ac:dyDescent="0.25">
      <c r="A13845" s="57">
        <v>52131601</v>
      </c>
      <c r="B13845" s="58" t="s">
        <v>14135</v>
      </c>
    </row>
    <row r="13846" spans="1:2" x14ac:dyDescent="0.25">
      <c r="A13846" s="57">
        <v>52131602</v>
      </c>
      <c r="B13846" s="58" t="s">
        <v>6943</v>
      </c>
    </row>
    <row r="13847" spans="1:2" x14ac:dyDescent="0.25">
      <c r="A13847" s="57">
        <v>52131603</v>
      </c>
      <c r="B13847" s="58" t="s">
        <v>6049</v>
      </c>
    </row>
    <row r="13848" spans="1:2" x14ac:dyDescent="0.25">
      <c r="A13848" s="57">
        <v>52131604</v>
      </c>
      <c r="B13848" s="58" t="s">
        <v>1035</v>
      </c>
    </row>
    <row r="13849" spans="1:2" x14ac:dyDescent="0.25">
      <c r="A13849" s="57">
        <v>52131701</v>
      </c>
      <c r="B13849" s="58" t="s">
        <v>17383</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10400</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14082</v>
      </c>
    </row>
    <row r="13857" spans="1:2" x14ac:dyDescent="0.25">
      <c r="A13857" s="57">
        <v>52141505</v>
      </c>
      <c r="B13857" s="58" t="s">
        <v>5908</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14316</v>
      </c>
    </row>
    <row r="13868" spans="1:2" x14ac:dyDescent="0.25">
      <c r="A13868" s="57">
        <v>52141516</v>
      </c>
      <c r="B13868" s="58" t="s">
        <v>5978</v>
      </c>
    </row>
    <row r="13869" spans="1:2" x14ac:dyDescent="0.25">
      <c r="A13869" s="57">
        <v>52141517</v>
      </c>
      <c r="B13869" s="58" t="s">
        <v>17818</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13254</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9477</v>
      </c>
    </row>
    <row r="13898" spans="1:2" x14ac:dyDescent="0.25">
      <c r="A13898" s="57">
        <v>52141607</v>
      </c>
      <c r="B13898" s="58" t="s">
        <v>5878</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7166</v>
      </c>
    </row>
    <row r="13904" spans="1:2" x14ac:dyDescent="0.25">
      <c r="A13904" s="57">
        <v>52141706</v>
      </c>
      <c r="B13904" s="58" t="s">
        <v>12927</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17253</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7305</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17251</v>
      </c>
    </row>
    <row r="13929" spans="1:2" x14ac:dyDescent="0.25">
      <c r="A13929" s="57">
        <v>52151615</v>
      </c>
      <c r="B13929" s="58" t="s">
        <v>10364</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18731</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6037</v>
      </c>
    </row>
    <row r="13949" spans="1:2" x14ac:dyDescent="0.25">
      <c r="A13949" s="57">
        <v>52151635</v>
      </c>
      <c r="B13949" s="58" t="s">
        <v>5056</v>
      </c>
    </row>
    <row r="13950" spans="1:2" x14ac:dyDescent="0.25">
      <c r="A13950" s="57">
        <v>52151636</v>
      </c>
      <c r="B13950" s="58" t="s">
        <v>13718</v>
      </c>
    </row>
    <row r="13951" spans="1:2" x14ac:dyDescent="0.25">
      <c r="A13951" s="57">
        <v>52151637</v>
      </c>
      <c r="B13951" s="58" t="s">
        <v>12057</v>
      </c>
    </row>
    <row r="13952" spans="1:2" x14ac:dyDescent="0.25">
      <c r="A13952" s="57">
        <v>52151638</v>
      </c>
      <c r="B13952" s="58" t="s">
        <v>7257</v>
      </c>
    </row>
    <row r="13953" spans="1:2" x14ac:dyDescent="0.25">
      <c r="A13953" s="57">
        <v>52151639</v>
      </c>
      <c r="B13953" s="58" t="s">
        <v>11525</v>
      </c>
    </row>
    <row r="13954" spans="1:2" x14ac:dyDescent="0.25">
      <c r="A13954" s="57">
        <v>52151640</v>
      </c>
      <c r="B13954" s="58" t="s">
        <v>17521</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17633</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8659</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18766</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6106</v>
      </c>
    </row>
    <row r="13984" spans="1:2" x14ac:dyDescent="0.25">
      <c r="A13984" s="57">
        <v>52151811</v>
      </c>
      <c r="B13984" s="58" t="s">
        <v>15963</v>
      </c>
    </row>
    <row r="13985" spans="1:2" x14ac:dyDescent="0.25">
      <c r="A13985" s="57">
        <v>52151812</v>
      </c>
      <c r="B13985" s="58" t="s">
        <v>6126</v>
      </c>
    </row>
    <row r="13986" spans="1:2" x14ac:dyDescent="0.25">
      <c r="A13986" s="57">
        <v>52151813</v>
      </c>
      <c r="B13986" s="58" t="s">
        <v>18118</v>
      </c>
    </row>
    <row r="13987" spans="1:2" x14ac:dyDescent="0.25">
      <c r="A13987" s="57">
        <v>52151901</v>
      </c>
      <c r="B13987" s="58" t="s">
        <v>11788</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6105</v>
      </c>
    </row>
    <row r="13991" spans="1:2" x14ac:dyDescent="0.25">
      <c r="A13991" s="57">
        <v>52151905</v>
      </c>
      <c r="B13991" s="58" t="s">
        <v>8845</v>
      </c>
    </row>
    <row r="13992" spans="1:2" x14ac:dyDescent="0.25">
      <c r="A13992" s="57">
        <v>52151906</v>
      </c>
      <c r="B13992" s="58" t="s">
        <v>13224</v>
      </c>
    </row>
    <row r="13993" spans="1:2" x14ac:dyDescent="0.25">
      <c r="A13993" s="57">
        <v>52151907</v>
      </c>
      <c r="B13993" s="58" t="s">
        <v>13424</v>
      </c>
    </row>
    <row r="13994" spans="1:2" x14ac:dyDescent="0.25">
      <c r="A13994" s="57">
        <v>52151908</v>
      </c>
      <c r="B13994" s="58" t="s">
        <v>17406</v>
      </c>
    </row>
    <row r="13995" spans="1:2" x14ac:dyDescent="0.25">
      <c r="A13995" s="57">
        <v>52151909</v>
      </c>
      <c r="B13995" s="58" t="s">
        <v>5837</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11287</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12931</v>
      </c>
    </row>
    <row r="14030" spans="1:2" x14ac:dyDescent="0.25">
      <c r="A14030" s="57">
        <v>52161515</v>
      </c>
      <c r="B14030" s="58" t="s">
        <v>6391</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18653</v>
      </c>
    </row>
    <row r="14040" spans="1:2" x14ac:dyDescent="0.25">
      <c r="A14040" s="57">
        <v>52161526</v>
      </c>
      <c r="B14040" s="58" t="s">
        <v>9890</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6070</v>
      </c>
    </row>
    <row r="14048" spans="1:2" x14ac:dyDescent="0.25">
      <c r="A14048" s="57">
        <v>52161536</v>
      </c>
      <c r="B14048" s="58" t="s">
        <v>4194</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14214</v>
      </c>
    </row>
    <row r="14058" spans="1:2" x14ac:dyDescent="0.25">
      <c r="A14058" s="57">
        <v>52161602</v>
      </c>
      <c r="B14058" s="58" t="s">
        <v>17471</v>
      </c>
    </row>
    <row r="14059" spans="1:2" x14ac:dyDescent="0.25">
      <c r="A14059" s="57">
        <v>52161603</v>
      </c>
      <c r="B14059" s="58" t="s">
        <v>9639</v>
      </c>
    </row>
    <row r="14060" spans="1:2" x14ac:dyDescent="0.25">
      <c r="A14060" s="57">
        <v>52161604</v>
      </c>
      <c r="B14060" s="58" t="s">
        <v>6768</v>
      </c>
    </row>
    <row r="14061" spans="1:2" x14ac:dyDescent="0.25">
      <c r="A14061" s="57">
        <v>52171001</v>
      </c>
      <c r="B14061" s="58" t="s">
        <v>12867</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12513</v>
      </c>
    </row>
    <row r="14071" spans="1:2" x14ac:dyDescent="0.25">
      <c r="A14071" s="57">
        <v>53101605</v>
      </c>
      <c r="B14071" s="58" t="s">
        <v>17841</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17519</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14330</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17275</v>
      </c>
    </row>
    <row r="14082" spans="1:2" x14ac:dyDescent="0.25">
      <c r="A14082" s="57">
        <v>53101901</v>
      </c>
      <c r="B14082" s="58" t="s">
        <v>12068</v>
      </c>
    </row>
    <row r="14083" spans="1:2" x14ac:dyDescent="0.25">
      <c r="A14083" s="57">
        <v>53101902</v>
      </c>
      <c r="B14083" s="58" t="s">
        <v>4467</v>
      </c>
    </row>
    <row r="14084" spans="1:2" x14ac:dyDescent="0.25">
      <c r="A14084" s="57">
        <v>53101903</v>
      </c>
      <c r="B14084" s="58" t="s">
        <v>13179</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14487</v>
      </c>
    </row>
    <row r="14089" spans="1:2" x14ac:dyDescent="0.25">
      <c r="A14089" s="57">
        <v>53102003</v>
      </c>
      <c r="B14089" s="58" t="s">
        <v>9571</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11649</v>
      </c>
    </row>
    <row r="14097" spans="1:2" x14ac:dyDescent="0.25">
      <c r="A14097" s="57">
        <v>53102203</v>
      </c>
      <c r="B14097" s="58" t="s">
        <v>5860</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6305</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11998</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17366</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17454</v>
      </c>
    </row>
    <row r="14146" spans="1:2" x14ac:dyDescent="0.25">
      <c r="A14146" s="57">
        <v>53102709</v>
      </c>
      <c r="B14146" s="58" t="s">
        <v>14961</v>
      </c>
    </row>
    <row r="14147" spans="1:2" x14ac:dyDescent="0.25">
      <c r="A14147" s="57">
        <v>53102710</v>
      </c>
      <c r="B14147" s="58" t="s">
        <v>5992</v>
      </c>
    </row>
    <row r="14148" spans="1:2" x14ac:dyDescent="0.25">
      <c r="A14148" s="57">
        <v>53102711</v>
      </c>
      <c r="B14148" s="58" t="s">
        <v>10458</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17561</v>
      </c>
    </row>
    <row r="14152" spans="1:2" x14ac:dyDescent="0.25">
      <c r="A14152" s="57">
        <v>53102803</v>
      </c>
      <c r="B14152" s="58" t="s">
        <v>12716</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11733</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17294</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6173</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5960</v>
      </c>
    </row>
    <row r="14205" spans="1:2" x14ac:dyDescent="0.25">
      <c r="A14205" s="57">
        <v>53121608</v>
      </c>
      <c r="B14205" s="58" t="s">
        <v>8836</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6134</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9511</v>
      </c>
    </row>
    <row r="14212" spans="1:2" x14ac:dyDescent="0.25">
      <c r="A14212" s="57">
        <v>53121802</v>
      </c>
      <c r="B14212" s="58" t="s">
        <v>11564</v>
      </c>
    </row>
    <row r="14213" spans="1:2" x14ac:dyDescent="0.25">
      <c r="A14213" s="57">
        <v>53121803</v>
      </c>
      <c r="B14213" s="58" t="s">
        <v>3946</v>
      </c>
    </row>
    <row r="14214" spans="1:2" x14ac:dyDescent="0.25">
      <c r="A14214" s="57">
        <v>53121804</v>
      </c>
      <c r="B14214" s="58" t="s">
        <v>14380</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17831</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14597</v>
      </c>
    </row>
    <row r="14226" spans="1:2" x14ac:dyDescent="0.25">
      <c r="A14226" s="57">
        <v>53131603</v>
      </c>
      <c r="B14226" s="58" t="s">
        <v>3406</v>
      </c>
    </row>
    <row r="14227" spans="1:2" x14ac:dyDescent="0.25">
      <c r="A14227" s="57">
        <v>53131604</v>
      </c>
      <c r="B14227" s="58" t="s">
        <v>13565</v>
      </c>
    </row>
    <row r="14228" spans="1:2" x14ac:dyDescent="0.25">
      <c r="A14228" s="57">
        <v>53131605</v>
      </c>
      <c r="B14228" s="58" t="s">
        <v>12092</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11376</v>
      </c>
    </row>
    <row r="14232" spans="1:2" x14ac:dyDescent="0.25">
      <c r="A14232" s="57">
        <v>53131609</v>
      </c>
      <c r="B14232" s="58" t="s">
        <v>5104</v>
      </c>
    </row>
    <row r="14233" spans="1:2" x14ac:dyDescent="0.25">
      <c r="A14233" s="57">
        <v>53131610</v>
      </c>
      <c r="B14233" s="58" t="s">
        <v>13779</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18735</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5838</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18831</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6227</v>
      </c>
    </row>
    <row r="14259" spans="1:2" x14ac:dyDescent="0.25">
      <c r="A14259" s="57">
        <v>53131636</v>
      </c>
      <c r="B14259" s="58" t="s">
        <v>14493</v>
      </c>
    </row>
    <row r="14260" spans="1:2" x14ac:dyDescent="0.25">
      <c r="A14260" s="57">
        <v>53131637</v>
      </c>
      <c r="B14260" s="58" t="s">
        <v>2570</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6213</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6247</v>
      </c>
    </row>
    <row r="14267" spans="1:2" x14ac:dyDescent="0.25">
      <c r="A14267" s="57">
        <v>53141506</v>
      </c>
      <c r="B14267" s="58" t="s">
        <v>10956</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13319</v>
      </c>
    </row>
    <row r="14274" spans="1:2" x14ac:dyDescent="0.25">
      <c r="A14274" s="57">
        <v>53141605</v>
      </c>
      <c r="B14274" s="58" t="s">
        <v>7031</v>
      </c>
    </row>
    <row r="14275" spans="1:2" x14ac:dyDescent="0.25">
      <c r="A14275" s="57">
        <v>53141606</v>
      </c>
      <c r="B14275" s="58" t="s">
        <v>17518</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13597</v>
      </c>
    </row>
    <row r="14280" spans="1:2" x14ac:dyDescent="0.25">
      <c r="A14280" s="57">
        <v>53141611</v>
      </c>
      <c r="B14280" s="58" t="s">
        <v>17265</v>
      </c>
    </row>
    <row r="14281" spans="1:2" x14ac:dyDescent="0.25">
      <c r="A14281" s="57">
        <v>53141612</v>
      </c>
      <c r="B14281" s="58" t="s">
        <v>5887</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12061</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11887</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17726</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17327</v>
      </c>
    </row>
    <row r="14322" spans="1:2" x14ac:dyDescent="0.25">
      <c r="A14322" s="57">
        <v>54101706</v>
      </c>
      <c r="B14322" s="58" t="s">
        <v>18744</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11763</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9859</v>
      </c>
    </row>
    <row r="14333" spans="1:2" x14ac:dyDescent="0.25">
      <c r="A14333" s="57">
        <v>54111705</v>
      </c>
      <c r="B14333" s="58" t="s">
        <v>5147</v>
      </c>
    </row>
    <row r="14334" spans="1:2" x14ac:dyDescent="0.25">
      <c r="A14334" s="57">
        <v>54111706</v>
      </c>
      <c r="B14334" s="58" t="s">
        <v>12020</v>
      </c>
    </row>
    <row r="14335" spans="1:2" x14ac:dyDescent="0.25">
      <c r="A14335" s="57">
        <v>54111707</v>
      </c>
      <c r="B14335" s="58" t="s">
        <v>4947</v>
      </c>
    </row>
    <row r="14336" spans="1:2" x14ac:dyDescent="0.25">
      <c r="A14336" s="57">
        <v>54111708</v>
      </c>
      <c r="B14336" s="58" t="s">
        <v>9949</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9736</v>
      </c>
    </row>
    <row r="14343" spans="1:2" x14ac:dyDescent="0.25">
      <c r="A14343" s="57">
        <v>54121602</v>
      </c>
      <c r="B14343" s="58" t="s">
        <v>17814</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6083</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6027</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11986</v>
      </c>
    </row>
    <row r="14362" spans="1:2" x14ac:dyDescent="0.25">
      <c r="A14362" s="57">
        <v>55101517</v>
      </c>
      <c r="B14362" s="58" t="s">
        <v>17620</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16944</v>
      </c>
    </row>
    <row r="14379" spans="1:2" x14ac:dyDescent="0.25">
      <c r="A14379" s="57">
        <v>55111506</v>
      </c>
      <c r="B14379" s="58" t="s">
        <v>5847</v>
      </c>
    </row>
    <row r="14380" spans="1:2" x14ac:dyDescent="0.25">
      <c r="A14380" s="57">
        <v>55111507</v>
      </c>
      <c r="B14380" s="58" t="s">
        <v>5930</v>
      </c>
    </row>
    <row r="14381" spans="1:2" x14ac:dyDescent="0.25">
      <c r="A14381" s="57">
        <v>55111508</v>
      </c>
      <c r="B14381" s="58" t="s">
        <v>6487</v>
      </c>
    </row>
    <row r="14382" spans="1:2" x14ac:dyDescent="0.25">
      <c r="A14382" s="57">
        <v>55111509</v>
      </c>
      <c r="B14382" s="58" t="s">
        <v>12307</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12013</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10519</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12717</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9863</v>
      </c>
    </row>
    <row r="14417" spans="1:2" x14ac:dyDescent="0.25">
      <c r="A14417" s="57">
        <v>55121703</v>
      </c>
      <c r="B14417" s="58" t="s">
        <v>18824</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12940</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17443</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17266</v>
      </c>
    </row>
    <row r="14444" spans="1:2" x14ac:dyDescent="0.25">
      <c r="A14444" s="57">
        <v>55121730</v>
      </c>
      <c r="B14444" s="58" t="s">
        <v>12898</v>
      </c>
    </row>
    <row r="14445" spans="1:2" x14ac:dyDescent="0.25">
      <c r="A14445" s="57">
        <v>55121731</v>
      </c>
      <c r="B14445" s="58" t="s">
        <v>8792</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13157</v>
      </c>
    </row>
    <row r="14452" spans="1:2" x14ac:dyDescent="0.25">
      <c r="A14452" s="57">
        <v>55121807</v>
      </c>
      <c r="B14452" s="58" t="s">
        <v>6729</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18655</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17237</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12512</v>
      </c>
    </row>
    <row r="14485" spans="1:2" x14ac:dyDescent="0.25">
      <c r="A14485" s="57">
        <v>56101537</v>
      </c>
      <c r="B14485" s="58" t="s">
        <v>8436</v>
      </c>
    </row>
    <row r="14486" spans="1:2" x14ac:dyDescent="0.25">
      <c r="A14486" s="57">
        <v>56101538</v>
      </c>
      <c r="B14486" s="58" t="s">
        <v>17694</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8669</v>
      </c>
    </row>
    <row r="14497" spans="1:2" x14ac:dyDescent="0.25">
      <c r="A14497" s="57">
        <v>56101608</v>
      </c>
      <c r="B14497" s="58" t="s">
        <v>11414</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13348</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17499</v>
      </c>
    </row>
    <row r="14520" spans="1:2" x14ac:dyDescent="0.25">
      <c r="A14520" s="57">
        <v>56101809</v>
      </c>
      <c r="B14520" s="58" t="s">
        <v>13920</v>
      </c>
    </row>
    <row r="14521" spans="1:2" x14ac:dyDescent="0.25">
      <c r="A14521" s="57">
        <v>56101810</v>
      </c>
      <c r="B14521" s="58" t="s">
        <v>11647</v>
      </c>
    </row>
    <row r="14522" spans="1:2" x14ac:dyDescent="0.25">
      <c r="A14522" s="57">
        <v>56101811</v>
      </c>
      <c r="B14522" s="58" t="s">
        <v>9413</v>
      </c>
    </row>
    <row r="14523" spans="1:2" x14ac:dyDescent="0.25">
      <c r="A14523" s="57">
        <v>56101812</v>
      </c>
      <c r="B14523" s="58" t="s">
        <v>11824</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9819</v>
      </c>
    </row>
    <row r="14540" spans="1:2" x14ac:dyDescent="0.25">
      <c r="A14540" s="57">
        <v>56111509</v>
      </c>
      <c r="B14540" s="58" t="s">
        <v>17624</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6224</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17641</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17752</v>
      </c>
    </row>
    <row r="14573" spans="1:2" x14ac:dyDescent="0.25">
      <c r="A14573" s="57">
        <v>56112003</v>
      </c>
      <c r="B14573" s="58" t="s">
        <v>6283</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13052</v>
      </c>
    </row>
    <row r="14585" spans="1:2" x14ac:dyDescent="0.25">
      <c r="A14585" s="57">
        <v>56112110</v>
      </c>
      <c r="B14585" s="58" t="s">
        <v>13393</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18804</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8982</v>
      </c>
    </row>
    <row r="14610" spans="1:2" x14ac:dyDescent="0.25">
      <c r="A14610" s="57">
        <v>56121502</v>
      </c>
      <c r="B14610" s="58" t="s">
        <v>17387</v>
      </c>
    </row>
    <row r="14611" spans="1:2" x14ac:dyDescent="0.25">
      <c r="A14611" s="57">
        <v>56121503</v>
      </c>
      <c r="B14611" s="58" t="s">
        <v>15090</v>
      </c>
    </row>
    <row r="14612" spans="1:2" x14ac:dyDescent="0.25">
      <c r="A14612" s="57">
        <v>56121504</v>
      </c>
      <c r="B14612" s="58" t="s">
        <v>17432</v>
      </c>
    </row>
    <row r="14613" spans="1:2" x14ac:dyDescent="0.25">
      <c r="A14613" s="57">
        <v>56121505</v>
      </c>
      <c r="B14613" s="58" t="s">
        <v>15367</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6116</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10379</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18822</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12540</v>
      </c>
    </row>
    <row r="14641" spans="1:2" x14ac:dyDescent="0.25">
      <c r="A14641" s="57">
        <v>56122004</v>
      </c>
      <c r="B14641" s="58" t="s">
        <v>6015</v>
      </c>
    </row>
    <row r="14642" spans="1:2" x14ac:dyDescent="0.25">
      <c r="A14642" s="57">
        <v>60101001</v>
      </c>
      <c r="B14642" s="58" t="s">
        <v>9498</v>
      </c>
    </row>
    <row r="14643" spans="1:2" x14ac:dyDescent="0.25">
      <c r="A14643" s="57">
        <v>60101002</v>
      </c>
      <c r="B14643" s="58" t="s">
        <v>17744</v>
      </c>
    </row>
    <row r="14644" spans="1:2" x14ac:dyDescent="0.25">
      <c r="A14644" s="57">
        <v>60101003</v>
      </c>
      <c r="B14644" s="58" t="s">
        <v>17627</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6144</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17601</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6209</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17644</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12913</v>
      </c>
    </row>
    <row r="14672" spans="1:2" x14ac:dyDescent="0.25">
      <c r="A14672" s="57">
        <v>60101313</v>
      </c>
      <c r="B14672" s="58" t="s">
        <v>9456</v>
      </c>
    </row>
    <row r="14673" spans="1:2" x14ac:dyDescent="0.25">
      <c r="A14673" s="57">
        <v>60101314</v>
      </c>
      <c r="B14673" s="58" t="s">
        <v>13286</v>
      </c>
    </row>
    <row r="14674" spans="1:2" x14ac:dyDescent="0.25">
      <c r="A14674" s="57">
        <v>60101315</v>
      </c>
      <c r="B14674" s="58" t="s">
        <v>17424</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13251</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9513</v>
      </c>
    </row>
    <row r="14710" spans="1:2" x14ac:dyDescent="0.25">
      <c r="A14710" s="57">
        <v>60101705</v>
      </c>
      <c r="B14710" s="58" t="s">
        <v>6261</v>
      </c>
    </row>
    <row r="14711" spans="1:2" x14ac:dyDescent="0.25">
      <c r="A14711" s="57">
        <v>60101706</v>
      </c>
      <c r="B14711" s="58" t="s">
        <v>6233</v>
      </c>
    </row>
    <row r="14712" spans="1:2" x14ac:dyDescent="0.25">
      <c r="A14712" s="57">
        <v>60101707</v>
      </c>
      <c r="B14712" s="58" t="s">
        <v>13017</v>
      </c>
    </row>
    <row r="14713" spans="1:2" x14ac:dyDescent="0.25">
      <c r="A14713" s="57">
        <v>60101708</v>
      </c>
      <c r="B14713" s="58" t="s">
        <v>14743</v>
      </c>
    </row>
    <row r="14714" spans="1:2" x14ac:dyDescent="0.25">
      <c r="A14714" s="57">
        <v>60101709</v>
      </c>
      <c r="B14714" s="58" t="s">
        <v>8847</v>
      </c>
    </row>
    <row r="14715" spans="1:2" x14ac:dyDescent="0.25">
      <c r="A14715" s="57">
        <v>60101710</v>
      </c>
      <c r="B14715" s="58" t="s">
        <v>17658</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12493</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13821</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12473</v>
      </c>
    </row>
    <row r="14742" spans="1:2" x14ac:dyDescent="0.25">
      <c r="A14742" s="57">
        <v>60101805</v>
      </c>
      <c r="B14742" s="58" t="s">
        <v>8049</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6883</v>
      </c>
    </row>
    <row r="14751" spans="1:2" x14ac:dyDescent="0.25">
      <c r="A14751" s="57">
        <v>60101903</v>
      </c>
      <c r="B14751" s="58" t="s">
        <v>14033</v>
      </c>
    </row>
    <row r="14752" spans="1:2" x14ac:dyDescent="0.25">
      <c r="A14752" s="57">
        <v>60101904</v>
      </c>
      <c r="B14752" s="58" t="s">
        <v>6267</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17492</v>
      </c>
    </row>
    <row r="14775" spans="1:2" x14ac:dyDescent="0.25">
      <c r="A14775" s="57">
        <v>60102203</v>
      </c>
      <c r="B14775" s="58" t="s">
        <v>5187</v>
      </c>
    </row>
    <row r="14776" spans="1:2" x14ac:dyDescent="0.25">
      <c r="A14776" s="57">
        <v>60102204</v>
      </c>
      <c r="B14776" s="58" t="s">
        <v>14101</v>
      </c>
    </row>
    <row r="14777" spans="1:2" x14ac:dyDescent="0.25">
      <c r="A14777" s="57">
        <v>60102205</v>
      </c>
      <c r="B14777" s="58" t="s">
        <v>4922</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14124</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5876</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8868</v>
      </c>
    </row>
    <row r="14807" spans="1:2" x14ac:dyDescent="0.25">
      <c r="A14807" s="57">
        <v>60102503</v>
      </c>
      <c r="B14807" s="58" t="s">
        <v>6041</v>
      </c>
    </row>
    <row r="14808" spans="1:2" x14ac:dyDescent="0.25">
      <c r="A14808" s="57">
        <v>60102504</v>
      </c>
      <c r="B14808" s="58" t="s">
        <v>5739</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9084</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5932</v>
      </c>
    </row>
    <row r="14821" spans="1:2" x14ac:dyDescent="0.25">
      <c r="A14821" s="57">
        <v>60102604</v>
      </c>
      <c r="B14821" s="58" t="s">
        <v>12535</v>
      </c>
    </row>
    <row r="14822" spans="1:2" x14ac:dyDescent="0.25">
      <c r="A14822" s="57">
        <v>60102605</v>
      </c>
      <c r="B14822" s="58" t="s">
        <v>6936</v>
      </c>
    </row>
    <row r="14823" spans="1:2" x14ac:dyDescent="0.25">
      <c r="A14823" s="57">
        <v>60102606</v>
      </c>
      <c r="B14823" s="58" t="s">
        <v>12084</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11756</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5920</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11187</v>
      </c>
    </row>
    <row r="14835" spans="1:2" x14ac:dyDescent="0.25">
      <c r="A14835" s="57">
        <v>60102704</v>
      </c>
      <c r="B14835" s="58" t="s">
        <v>6154</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12324</v>
      </c>
    </row>
    <row r="14841" spans="1:2" x14ac:dyDescent="0.25">
      <c r="A14841" s="57">
        <v>60102710</v>
      </c>
      <c r="B14841" s="58" t="s">
        <v>7661</v>
      </c>
    </row>
    <row r="14842" spans="1:2" x14ac:dyDescent="0.25">
      <c r="A14842" s="57">
        <v>60102711</v>
      </c>
      <c r="B14842" s="58" t="s">
        <v>18703</v>
      </c>
    </row>
    <row r="14843" spans="1:2" x14ac:dyDescent="0.25">
      <c r="A14843" s="57">
        <v>60102712</v>
      </c>
      <c r="B14843" s="58" t="s">
        <v>11191</v>
      </c>
    </row>
    <row r="14844" spans="1:2" x14ac:dyDescent="0.25">
      <c r="A14844" s="57">
        <v>60102713</v>
      </c>
      <c r="B14844" s="58" t="s">
        <v>5797</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12273</v>
      </c>
    </row>
    <row r="14863" spans="1:2" x14ac:dyDescent="0.25">
      <c r="A14863" s="57">
        <v>60102908</v>
      </c>
      <c r="B14863" s="58" t="s">
        <v>18649</v>
      </c>
    </row>
    <row r="14864" spans="1:2" x14ac:dyDescent="0.25">
      <c r="A14864" s="57">
        <v>60102909</v>
      </c>
      <c r="B14864" s="58" t="s">
        <v>16266</v>
      </c>
    </row>
    <row r="14865" spans="1:2" x14ac:dyDescent="0.25">
      <c r="A14865" s="57">
        <v>60102910</v>
      </c>
      <c r="B14865" s="58" t="s">
        <v>12212</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9069</v>
      </c>
    </row>
    <row r="14877" spans="1:2" x14ac:dyDescent="0.25">
      <c r="A14877" s="57">
        <v>60103005</v>
      </c>
      <c r="B14877" s="58" t="s">
        <v>6031</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18683</v>
      </c>
    </row>
    <row r="14882" spans="1:2" x14ac:dyDescent="0.25">
      <c r="A14882" s="57">
        <v>60103010</v>
      </c>
      <c r="B14882" s="58" t="s">
        <v>14338</v>
      </c>
    </row>
    <row r="14883" spans="1:2" x14ac:dyDescent="0.25">
      <c r="A14883" s="57">
        <v>60103012</v>
      </c>
      <c r="B14883" s="58" t="s">
        <v>8880</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18656</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17087</v>
      </c>
    </row>
    <row r="14896" spans="1:2" x14ac:dyDescent="0.25">
      <c r="A14896" s="57">
        <v>60103112</v>
      </c>
      <c r="B14896" s="58" t="s">
        <v>14394</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13926</v>
      </c>
    </row>
    <row r="14904" spans="1:2" x14ac:dyDescent="0.25">
      <c r="A14904" s="57">
        <v>60103401</v>
      </c>
      <c r="B14904" s="58" t="s">
        <v>5958</v>
      </c>
    </row>
    <row r="14905" spans="1:2" x14ac:dyDescent="0.25">
      <c r="A14905" s="57">
        <v>60103402</v>
      </c>
      <c r="B14905" s="58" t="s">
        <v>14165</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5826</v>
      </c>
    </row>
    <row r="14915" spans="1:2" x14ac:dyDescent="0.25">
      <c r="A14915" s="57">
        <v>60103502</v>
      </c>
      <c r="B14915" s="58" t="s">
        <v>15320</v>
      </c>
    </row>
    <row r="14916" spans="1:2" x14ac:dyDescent="0.25">
      <c r="A14916" s="57">
        <v>60103503</v>
      </c>
      <c r="B14916" s="58" t="s">
        <v>12259</v>
      </c>
    </row>
    <row r="14917" spans="1:2" x14ac:dyDescent="0.25">
      <c r="A14917" s="57">
        <v>60103504</v>
      </c>
      <c r="B14917" s="58" t="s">
        <v>13318</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17284</v>
      </c>
    </row>
    <row r="14924" spans="1:2" x14ac:dyDescent="0.25">
      <c r="A14924" s="57">
        <v>60103701</v>
      </c>
      <c r="B14924" s="58" t="s">
        <v>2633</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17659</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13062</v>
      </c>
    </row>
    <row r="14938" spans="1:2" x14ac:dyDescent="0.25">
      <c r="A14938" s="57">
        <v>60103809</v>
      </c>
      <c r="B14938" s="58" t="s">
        <v>13722</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17824</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11828</v>
      </c>
    </row>
    <row r="14965" spans="1:2" x14ac:dyDescent="0.25">
      <c r="A14965" s="57">
        <v>60103934</v>
      </c>
      <c r="B14965" s="58" t="s">
        <v>13696</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17298</v>
      </c>
    </row>
    <row r="14970" spans="1:2" x14ac:dyDescent="0.25">
      <c r="A14970" s="57">
        <v>60104004</v>
      </c>
      <c r="B14970" s="58" t="s">
        <v>14047</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12154</v>
      </c>
    </row>
    <row r="14977" spans="1:2" x14ac:dyDescent="0.25">
      <c r="A14977" s="57">
        <v>60104103</v>
      </c>
      <c r="B14977" s="58" t="s">
        <v>7660</v>
      </c>
    </row>
    <row r="14978" spans="1:2" x14ac:dyDescent="0.25">
      <c r="A14978" s="57">
        <v>60104104</v>
      </c>
      <c r="B14978" s="58" t="s">
        <v>17854</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5852</v>
      </c>
    </row>
    <row r="15000" spans="1:2" x14ac:dyDescent="0.25">
      <c r="A15000" s="57">
        <v>60104504</v>
      </c>
      <c r="B15000" s="58" t="s">
        <v>12500</v>
      </c>
    </row>
    <row r="15001" spans="1:2" x14ac:dyDescent="0.25">
      <c r="A15001" s="57">
        <v>60104505</v>
      </c>
      <c r="B15001" s="58" t="s">
        <v>5486</v>
      </c>
    </row>
    <row r="15002" spans="1:2" x14ac:dyDescent="0.25">
      <c r="A15002" s="57">
        <v>60104506</v>
      </c>
      <c r="B15002" s="58" t="s">
        <v>10584</v>
      </c>
    </row>
    <row r="15003" spans="1:2" x14ac:dyDescent="0.25">
      <c r="A15003" s="57">
        <v>60104507</v>
      </c>
      <c r="B15003" s="58" t="s">
        <v>9045</v>
      </c>
    </row>
    <row r="15004" spans="1:2" x14ac:dyDescent="0.25">
      <c r="A15004" s="57">
        <v>60104508</v>
      </c>
      <c r="B15004" s="58" t="s">
        <v>18726</v>
      </c>
    </row>
    <row r="15005" spans="1:2" x14ac:dyDescent="0.25">
      <c r="A15005" s="57">
        <v>60104509</v>
      </c>
      <c r="B15005" s="58" t="s">
        <v>7222</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18794</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13517</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13395</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14568</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14446</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18789</v>
      </c>
    </row>
    <row r="15074" spans="1:2" x14ac:dyDescent="0.25">
      <c r="A15074" s="57">
        <v>60105308</v>
      </c>
      <c r="B15074" s="58" t="s">
        <v>12598</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4206</v>
      </c>
    </row>
    <row r="15086" spans="1:2" x14ac:dyDescent="0.25">
      <c r="A15086" s="57">
        <v>60105411</v>
      </c>
      <c r="B15086" s="58" t="s">
        <v>17820</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4771</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5830</v>
      </c>
    </row>
    <row r="15094" spans="1:2" x14ac:dyDescent="0.25">
      <c r="A15094" s="57">
        <v>60105419</v>
      </c>
      <c r="B15094" s="58" t="s">
        <v>16141</v>
      </c>
    </row>
    <row r="15095" spans="1:2" x14ac:dyDescent="0.25">
      <c r="A15095" s="57">
        <v>60105420</v>
      </c>
      <c r="B15095" s="58" t="s">
        <v>17314</v>
      </c>
    </row>
    <row r="15096" spans="1:2" x14ac:dyDescent="0.25">
      <c r="A15096" s="57">
        <v>60105421</v>
      </c>
      <c r="B15096" s="58" t="s">
        <v>12924</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6128</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17991</v>
      </c>
    </row>
    <row r="15106" spans="1:2" x14ac:dyDescent="0.25">
      <c r="A15106" s="57">
        <v>60105502</v>
      </c>
      <c r="B15106" s="58" t="s">
        <v>6112</v>
      </c>
    </row>
    <row r="15107" spans="1:2" x14ac:dyDescent="0.25">
      <c r="A15107" s="57">
        <v>60105503</v>
      </c>
      <c r="B15107" s="58" t="s">
        <v>6075</v>
      </c>
    </row>
    <row r="15108" spans="1:2" x14ac:dyDescent="0.25">
      <c r="A15108" s="57">
        <v>60105504</v>
      </c>
      <c r="B15108" s="58" t="s">
        <v>18817</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13012</v>
      </c>
    </row>
    <row r="15112" spans="1:2" x14ac:dyDescent="0.25">
      <c r="A15112" s="57">
        <v>60105603</v>
      </c>
      <c r="B15112" s="58" t="s">
        <v>9469</v>
      </c>
    </row>
    <row r="15113" spans="1:2" x14ac:dyDescent="0.25">
      <c r="A15113" s="57">
        <v>60105604</v>
      </c>
      <c r="B15113" s="58" t="s">
        <v>17889</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5935</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5292</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5271</v>
      </c>
    </row>
    <row r="15127" spans="1:2" x14ac:dyDescent="0.25">
      <c r="A15127" s="57">
        <v>60105618</v>
      </c>
      <c r="B15127" s="58" t="s">
        <v>10442</v>
      </c>
    </row>
    <row r="15128" spans="1:2" x14ac:dyDescent="0.25">
      <c r="A15128" s="57">
        <v>60105619</v>
      </c>
      <c r="B15128" s="58" t="s">
        <v>17280</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14685</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6104</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6299</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17453</v>
      </c>
    </row>
    <row r="15219" spans="1:2" x14ac:dyDescent="0.25">
      <c r="A15219" s="57">
        <v>60111203</v>
      </c>
      <c r="B15219" s="58" t="s">
        <v>13441</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17717</v>
      </c>
    </row>
    <row r="15223" spans="1:2" x14ac:dyDescent="0.25">
      <c r="A15223" s="57">
        <v>60111207</v>
      </c>
      <c r="B15223" s="58" t="s">
        <v>5210</v>
      </c>
    </row>
    <row r="15224" spans="1:2" x14ac:dyDescent="0.25">
      <c r="A15224" s="57">
        <v>60111208</v>
      </c>
      <c r="B15224" s="58" t="s">
        <v>6282</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17846</v>
      </c>
    </row>
    <row r="15240" spans="1:2" x14ac:dyDescent="0.25">
      <c r="A15240" s="57">
        <v>60111411</v>
      </c>
      <c r="B15240" s="58" t="s">
        <v>14014</v>
      </c>
    </row>
    <row r="15241" spans="1:2" x14ac:dyDescent="0.25">
      <c r="A15241" s="57">
        <v>60121001</v>
      </c>
      <c r="B15241" s="58" t="s">
        <v>17272</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6915</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17434</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14279</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14223</v>
      </c>
    </row>
    <row r="15288" spans="1:2" x14ac:dyDescent="0.25">
      <c r="A15288" s="57">
        <v>60121137</v>
      </c>
      <c r="B15288" s="58" t="s">
        <v>11654</v>
      </c>
    </row>
    <row r="15289" spans="1:2" x14ac:dyDescent="0.25">
      <c r="A15289" s="57">
        <v>60121138</v>
      </c>
      <c r="B15289" s="58" t="s">
        <v>6276</v>
      </c>
    </row>
    <row r="15290" spans="1:2" x14ac:dyDescent="0.25">
      <c r="A15290" s="57">
        <v>60121139</v>
      </c>
      <c r="B15290" s="58" t="s">
        <v>10460</v>
      </c>
    </row>
    <row r="15291" spans="1:2" x14ac:dyDescent="0.25">
      <c r="A15291" s="57">
        <v>60121140</v>
      </c>
      <c r="B15291" s="58" t="s">
        <v>7446</v>
      </c>
    </row>
    <row r="15292" spans="1:2" x14ac:dyDescent="0.25">
      <c r="A15292" s="57">
        <v>60121141</v>
      </c>
      <c r="B15292" s="58" t="s">
        <v>13468</v>
      </c>
    </row>
    <row r="15293" spans="1:2" x14ac:dyDescent="0.25">
      <c r="A15293" s="57">
        <v>60121142</v>
      </c>
      <c r="B15293" s="58" t="s">
        <v>5303</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17450</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5942</v>
      </c>
    </row>
    <row r="15317" spans="1:2" x14ac:dyDescent="0.25">
      <c r="A15317" s="57">
        <v>60121213</v>
      </c>
      <c r="B15317" s="58" t="s">
        <v>10162</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12105</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6273</v>
      </c>
    </row>
    <row r="15340" spans="1:2" x14ac:dyDescent="0.25">
      <c r="A15340" s="57">
        <v>60121236</v>
      </c>
      <c r="B15340" s="58" t="s">
        <v>8618</v>
      </c>
    </row>
    <row r="15341" spans="1:2" x14ac:dyDescent="0.25">
      <c r="A15341" s="57">
        <v>60121237</v>
      </c>
      <c r="B15341" s="58" t="s">
        <v>13982</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10726</v>
      </c>
    </row>
    <row r="15348" spans="1:2" x14ac:dyDescent="0.25">
      <c r="A15348" s="57">
        <v>60121245</v>
      </c>
      <c r="B15348" s="58" t="s">
        <v>17745</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17507</v>
      </c>
    </row>
    <row r="15352" spans="1:2" x14ac:dyDescent="0.25">
      <c r="A15352" s="57">
        <v>60121249</v>
      </c>
      <c r="B15352" s="58" t="s">
        <v>8461</v>
      </c>
    </row>
    <row r="15353" spans="1:2" x14ac:dyDescent="0.25">
      <c r="A15353" s="57">
        <v>60121250</v>
      </c>
      <c r="B15353" s="58" t="s">
        <v>10715</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14303</v>
      </c>
    </row>
    <row r="15359" spans="1:2" x14ac:dyDescent="0.25">
      <c r="A15359" s="57">
        <v>60121303</v>
      </c>
      <c r="B15359" s="58" t="s">
        <v>18650</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14416</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11941</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11924</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17730</v>
      </c>
    </row>
    <row r="15399" spans="1:2" x14ac:dyDescent="0.25">
      <c r="A15399" s="57">
        <v>60121522</v>
      </c>
      <c r="B15399" s="58" t="s">
        <v>5701</v>
      </c>
    </row>
    <row r="15400" spans="1:2" x14ac:dyDescent="0.25">
      <c r="A15400" s="57">
        <v>60121523</v>
      </c>
      <c r="B15400" s="58" t="s">
        <v>18732</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17608</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17813</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13900</v>
      </c>
    </row>
    <row r="15418" spans="1:2" x14ac:dyDescent="0.25">
      <c r="A15418" s="57">
        <v>60121605</v>
      </c>
      <c r="B15418" s="58" t="s">
        <v>12362</v>
      </c>
    </row>
    <row r="15419" spans="1:2" x14ac:dyDescent="0.25">
      <c r="A15419" s="57">
        <v>60121606</v>
      </c>
      <c r="B15419" s="58" t="s">
        <v>17860</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13966</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17332</v>
      </c>
    </row>
    <row r="15449" spans="1:2" x14ac:dyDescent="0.25">
      <c r="A15449" s="57">
        <v>60121812</v>
      </c>
      <c r="B15449" s="58" t="s">
        <v>6957</v>
      </c>
    </row>
    <row r="15450" spans="1:2" x14ac:dyDescent="0.25">
      <c r="A15450" s="57">
        <v>60121813</v>
      </c>
      <c r="B15450" s="58" t="s">
        <v>5925</v>
      </c>
    </row>
    <row r="15451" spans="1:2" x14ac:dyDescent="0.25">
      <c r="A15451" s="57">
        <v>60121814</v>
      </c>
      <c r="B15451" s="58" t="s">
        <v>6074</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13585</v>
      </c>
    </row>
    <row r="15460" spans="1:2" x14ac:dyDescent="0.25">
      <c r="A15460" s="57">
        <v>60121909</v>
      </c>
      <c r="B15460" s="58" t="s">
        <v>17477</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18756</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13883</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13201</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12636</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6199</v>
      </c>
    </row>
    <row r="15521" spans="1:2" x14ac:dyDescent="0.25">
      <c r="A15521" s="57">
        <v>60123303</v>
      </c>
      <c r="B15521" s="58" t="s">
        <v>5608</v>
      </c>
    </row>
    <row r="15522" spans="1:2" x14ac:dyDescent="0.25">
      <c r="A15522" s="57">
        <v>60123401</v>
      </c>
      <c r="B15522" s="58" t="s">
        <v>12925</v>
      </c>
    </row>
    <row r="15523" spans="1:2" x14ac:dyDescent="0.25">
      <c r="A15523" s="57">
        <v>60123402</v>
      </c>
      <c r="B15523" s="58" t="s">
        <v>5499</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17628</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6108</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13326</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8570</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13824</v>
      </c>
    </row>
    <row r="15546" spans="1:2" x14ac:dyDescent="0.25">
      <c r="A15546" s="57">
        <v>60124303</v>
      </c>
      <c r="B15546" s="58" t="s">
        <v>17307</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18727</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5995</v>
      </c>
    </row>
    <row r="15556" spans="1:2" x14ac:dyDescent="0.25">
      <c r="A15556" s="57">
        <v>60124313</v>
      </c>
      <c r="B15556" s="58" t="s">
        <v>4604</v>
      </c>
    </row>
    <row r="15557" spans="1:2" x14ac:dyDescent="0.25">
      <c r="A15557" s="57">
        <v>60124314</v>
      </c>
      <c r="B15557" s="58" t="s">
        <v>9962</v>
      </c>
    </row>
    <row r="15558" spans="1:2" x14ac:dyDescent="0.25">
      <c r="A15558" s="57">
        <v>60124315</v>
      </c>
      <c r="B15558" s="58" t="s">
        <v>18689</v>
      </c>
    </row>
    <row r="15559" spans="1:2" x14ac:dyDescent="0.25">
      <c r="A15559" s="57">
        <v>60124316</v>
      </c>
      <c r="B15559" s="58" t="s">
        <v>10896</v>
      </c>
    </row>
    <row r="15560" spans="1:2" x14ac:dyDescent="0.25">
      <c r="A15560" s="57">
        <v>60124317</v>
      </c>
      <c r="B15560" s="58" t="s">
        <v>18818</v>
      </c>
    </row>
    <row r="15561" spans="1:2" x14ac:dyDescent="0.25">
      <c r="A15561" s="57">
        <v>60124318</v>
      </c>
      <c r="B15561" s="58" t="s">
        <v>12674</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12516</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11567</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17476</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12679</v>
      </c>
    </row>
    <row r="15599" spans="1:2" x14ac:dyDescent="0.25">
      <c r="A15599" s="57">
        <v>60131101</v>
      </c>
      <c r="B15599" s="58" t="s">
        <v>5117</v>
      </c>
    </row>
    <row r="15600" spans="1:2" x14ac:dyDescent="0.25">
      <c r="A15600" s="57">
        <v>60131102</v>
      </c>
      <c r="B15600" s="58" t="s">
        <v>11041</v>
      </c>
    </row>
    <row r="15601" spans="1:2" x14ac:dyDescent="0.25">
      <c r="A15601" s="57">
        <v>60131103</v>
      </c>
      <c r="B15601" s="58" t="s">
        <v>4640</v>
      </c>
    </row>
    <row r="15602" spans="1:2" x14ac:dyDescent="0.25">
      <c r="A15602" s="57">
        <v>60131104</v>
      </c>
      <c r="B15602" s="58" t="s">
        <v>14503</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17374</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17316</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13843</v>
      </c>
    </row>
    <row r="15631" spans="1:2" x14ac:dyDescent="0.25">
      <c r="A15631" s="57">
        <v>60131402</v>
      </c>
      <c r="B15631" s="58" t="s">
        <v>9083</v>
      </c>
    </row>
    <row r="15632" spans="1:2" x14ac:dyDescent="0.25">
      <c r="A15632" s="57">
        <v>60131403</v>
      </c>
      <c r="B15632" s="58" t="s">
        <v>17690</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5955</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17221</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14556</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16834</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17551</v>
      </c>
    </row>
    <row r="15664" spans="1:2" x14ac:dyDescent="0.25">
      <c r="A15664" s="57">
        <v>60141008</v>
      </c>
      <c r="B15664" s="58" t="s">
        <v>6088</v>
      </c>
    </row>
    <row r="15665" spans="1:2" x14ac:dyDescent="0.25">
      <c r="A15665" s="57">
        <v>60141009</v>
      </c>
      <c r="B15665" s="58" t="s">
        <v>17357</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13385</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10609</v>
      </c>
    </row>
    <row r="15687" spans="1:2" x14ac:dyDescent="0.25">
      <c r="A15687" s="57">
        <v>60141105</v>
      </c>
      <c r="B15687" s="58" t="s">
        <v>5190</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18634</v>
      </c>
    </row>
    <row r="15693" spans="1:2" x14ac:dyDescent="0.25">
      <c r="A15693" s="57">
        <v>60141111</v>
      </c>
      <c r="B15693" s="58" t="s">
        <v>16042</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6194</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10163</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17823</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5959</v>
      </c>
    </row>
    <row r="15738" spans="1:2" x14ac:dyDescent="0.25">
      <c r="A15738" s="57">
        <v>70101804</v>
      </c>
      <c r="B15738" s="58" t="s">
        <v>14744</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13741</v>
      </c>
    </row>
    <row r="15744" spans="1:2" x14ac:dyDescent="0.25">
      <c r="A15744" s="57">
        <v>70101904</v>
      </c>
      <c r="B15744" s="58" t="s">
        <v>17013</v>
      </c>
    </row>
    <row r="15745" spans="1:2" x14ac:dyDescent="0.25">
      <c r="A15745" s="57">
        <v>70101905</v>
      </c>
      <c r="B15745" s="58" t="s">
        <v>18716</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10664</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12571</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14369</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14113</v>
      </c>
    </row>
    <row r="15772" spans="1:2" x14ac:dyDescent="0.25">
      <c r="A15772" s="57">
        <v>70121503</v>
      </c>
      <c r="B15772" s="58" t="s">
        <v>5118</v>
      </c>
    </row>
    <row r="15773" spans="1:2" x14ac:dyDescent="0.25">
      <c r="A15773" s="57">
        <v>70121504</v>
      </c>
      <c r="B15773" s="58" t="s">
        <v>17385</v>
      </c>
    </row>
    <row r="15774" spans="1:2" x14ac:dyDescent="0.25">
      <c r="A15774" s="57">
        <v>70121505</v>
      </c>
      <c r="B15774" s="58" t="s">
        <v>9930</v>
      </c>
    </row>
    <row r="15775" spans="1:2" x14ac:dyDescent="0.25">
      <c r="A15775" s="57">
        <v>70121601</v>
      </c>
      <c r="B15775" s="58" t="s">
        <v>6095</v>
      </c>
    </row>
    <row r="15776" spans="1:2" x14ac:dyDescent="0.25">
      <c r="A15776" s="57">
        <v>70121602</v>
      </c>
      <c r="B15776" s="58" t="s">
        <v>6092</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6098</v>
      </c>
    </row>
    <row r="15787" spans="1:2" x14ac:dyDescent="0.25">
      <c r="A15787" s="57">
        <v>70121704</v>
      </c>
      <c r="B15787" s="58" t="s">
        <v>14680</v>
      </c>
    </row>
    <row r="15788" spans="1:2" x14ac:dyDescent="0.25">
      <c r="A15788" s="57">
        <v>70121705</v>
      </c>
      <c r="B15788" s="58" t="s">
        <v>17490</v>
      </c>
    </row>
    <row r="15789" spans="1:2" x14ac:dyDescent="0.25">
      <c r="A15789" s="57">
        <v>70121801</v>
      </c>
      <c r="B15789" s="58" t="s">
        <v>7278</v>
      </c>
    </row>
    <row r="15790" spans="1:2" x14ac:dyDescent="0.25">
      <c r="A15790" s="57">
        <v>70121802</v>
      </c>
      <c r="B15790" s="58" t="s">
        <v>13740</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17281</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14332</v>
      </c>
    </row>
    <row r="15802" spans="1:2" x14ac:dyDescent="0.25">
      <c r="A15802" s="57">
        <v>70122008</v>
      </c>
      <c r="B15802" s="58" t="s">
        <v>17879</v>
      </c>
    </row>
    <row r="15803" spans="1:2" x14ac:dyDescent="0.25">
      <c r="A15803" s="57">
        <v>70122009</v>
      </c>
      <c r="B15803" s="58" t="s">
        <v>13992</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5974</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17595</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10230</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11916</v>
      </c>
    </row>
    <row r="15848" spans="1:2" x14ac:dyDescent="0.25">
      <c r="A15848" s="57">
        <v>70141605</v>
      </c>
      <c r="B15848" s="58" t="s">
        <v>7131</v>
      </c>
    </row>
    <row r="15849" spans="1:2" x14ac:dyDescent="0.25">
      <c r="A15849" s="57">
        <v>70141606</v>
      </c>
      <c r="B15849" s="58" t="s">
        <v>18762</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14083</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7321</v>
      </c>
    </row>
    <row r="15872" spans="1:2" x14ac:dyDescent="0.25">
      <c r="A15872" s="57">
        <v>70142004</v>
      </c>
      <c r="B15872" s="58" t="s">
        <v>13330</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17858</v>
      </c>
    </row>
    <row r="15879" spans="1:2" x14ac:dyDescent="0.25">
      <c r="A15879" s="57">
        <v>70142011</v>
      </c>
      <c r="B15879" s="58" t="s">
        <v>10335</v>
      </c>
    </row>
    <row r="15880" spans="1:2" x14ac:dyDescent="0.25">
      <c r="A15880" s="57">
        <v>70151501</v>
      </c>
      <c r="B15880" s="58" t="s">
        <v>17536</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17472</v>
      </c>
    </row>
    <row r="15895" spans="1:2" x14ac:dyDescent="0.25">
      <c r="A15895" s="57">
        <v>70151606</v>
      </c>
      <c r="B15895" s="58" t="s">
        <v>9677</v>
      </c>
    </row>
    <row r="15896" spans="1:2" x14ac:dyDescent="0.25">
      <c r="A15896" s="57">
        <v>70151701</v>
      </c>
      <c r="B15896" s="58" t="s">
        <v>8173</v>
      </c>
    </row>
    <row r="15897" spans="1:2" x14ac:dyDescent="0.25">
      <c r="A15897" s="57">
        <v>70151702</v>
      </c>
      <c r="B15897" s="58" t="s">
        <v>17711</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11725</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4383</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17537</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12022</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17581</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5964</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12012</v>
      </c>
    </row>
    <row r="15945" spans="1:2" x14ac:dyDescent="0.25">
      <c r="A15945" s="57">
        <v>70171708</v>
      </c>
      <c r="B15945" s="58" t="s">
        <v>4809</v>
      </c>
    </row>
    <row r="15946" spans="1:2" x14ac:dyDescent="0.25">
      <c r="A15946" s="57">
        <v>70171709</v>
      </c>
      <c r="B15946" s="58" t="s">
        <v>12789</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12367</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11473</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17083</v>
      </c>
    </row>
    <row r="15975" spans="1:2" x14ac:dyDescent="0.25">
      <c r="A15975" s="57">
        <v>71112013</v>
      </c>
      <c r="B15975" s="58" t="s">
        <v>9910</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13334</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17590</v>
      </c>
    </row>
    <row r="15986" spans="1:2" x14ac:dyDescent="0.25">
      <c r="A15986" s="57">
        <v>71112025</v>
      </c>
      <c r="B15986" s="58" t="s">
        <v>13050</v>
      </c>
    </row>
    <row r="15987" spans="1:2" x14ac:dyDescent="0.25">
      <c r="A15987" s="57">
        <v>71112026</v>
      </c>
      <c r="B15987" s="58" t="s">
        <v>17353</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6239</v>
      </c>
    </row>
    <row r="15996" spans="1:2" x14ac:dyDescent="0.25">
      <c r="A15996" s="57">
        <v>71112104</v>
      </c>
      <c r="B15996" s="58" t="s">
        <v>13271</v>
      </c>
    </row>
    <row r="15997" spans="1:2" x14ac:dyDescent="0.25">
      <c r="A15997" s="57">
        <v>71112105</v>
      </c>
      <c r="B15997" s="58" t="s">
        <v>11810</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13135</v>
      </c>
    </row>
    <row r="16001" spans="1:2" x14ac:dyDescent="0.25">
      <c r="A16001" s="57">
        <v>71112109</v>
      </c>
      <c r="B16001" s="58" t="s">
        <v>3942</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13896</v>
      </c>
    </row>
    <row r="16011" spans="1:2" x14ac:dyDescent="0.25">
      <c r="A16011" s="57">
        <v>71112120</v>
      </c>
      <c r="B16011" s="58" t="s">
        <v>17419</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12892</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13338</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18642</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17784</v>
      </c>
    </row>
    <row r="16042" spans="1:2" x14ac:dyDescent="0.25">
      <c r="A16042" s="57">
        <v>71121003</v>
      </c>
      <c r="B16042" s="58" t="s">
        <v>18370</v>
      </c>
    </row>
    <row r="16043" spans="1:2" x14ac:dyDescent="0.25">
      <c r="A16043" s="57">
        <v>71121004</v>
      </c>
      <c r="B16043" s="58" t="s">
        <v>14515</v>
      </c>
    </row>
    <row r="16044" spans="1:2" x14ac:dyDescent="0.25">
      <c r="A16044" s="57">
        <v>71121005</v>
      </c>
      <c r="B16044" s="58" t="s">
        <v>17288</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17630</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17706</v>
      </c>
    </row>
    <row r="16059" spans="1:2" x14ac:dyDescent="0.25">
      <c r="A16059" s="57">
        <v>71121020</v>
      </c>
      <c r="B16059" s="58" t="s">
        <v>10131</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17470</v>
      </c>
    </row>
    <row r="16065" spans="1:2" x14ac:dyDescent="0.25">
      <c r="A16065" s="57">
        <v>71121103</v>
      </c>
      <c r="B16065" s="58" t="s">
        <v>7618</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5290</v>
      </c>
    </row>
    <row r="16069" spans="1:2" x14ac:dyDescent="0.25">
      <c r="A16069" s="57">
        <v>71121107</v>
      </c>
      <c r="B16069" s="58" t="s">
        <v>18781</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17114</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6119</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6274</v>
      </c>
    </row>
    <row r="16089" spans="1:2" x14ac:dyDescent="0.25">
      <c r="A16089" s="57">
        <v>71121204</v>
      </c>
      <c r="B16089" s="58" t="s">
        <v>17567</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17660</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12097</v>
      </c>
    </row>
    <row r="16111" spans="1:2" x14ac:dyDescent="0.25">
      <c r="A16111" s="57">
        <v>71121506</v>
      </c>
      <c r="B16111" s="58" t="s">
        <v>13594</v>
      </c>
    </row>
    <row r="16112" spans="1:2" x14ac:dyDescent="0.25">
      <c r="A16112" s="57">
        <v>71121507</v>
      </c>
      <c r="B16112" s="58" t="s">
        <v>6077</v>
      </c>
    </row>
    <row r="16113" spans="1:2" x14ac:dyDescent="0.25">
      <c r="A16113" s="57">
        <v>71121508</v>
      </c>
      <c r="B16113" s="58" t="s">
        <v>645</v>
      </c>
    </row>
    <row r="16114" spans="1:2" x14ac:dyDescent="0.25">
      <c r="A16114" s="57">
        <v>71121509</v>
      </c>
      <c r="B16114" s="58" t="s">
        <v>18646</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10278</v>
      </c>
    </row>
    <row r="16131" spans="1:2" x14ac:dyDescent="0.25">
      <c r="A16131" s="57">
        <v>71121610</v>
      </c>
      <c r="B16131" s="58" t="s">
        <v>6155</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17721</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12553</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6117</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14596</v>
      </c>
    </row>
    <row r="16197" spans="1:2" x14ac:dyDescent="0.25">
      <c r="A16197" s="57">
        <v>71122302</v>
      </c>
      <c r="B16197" s="58" t="s">
        <v>17365</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13935</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18696</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11926</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14436</v>
      </c>
    </row>
    <row r="16229" spans="1:2" x14ac:dyDescent="0.25">
      <c r="A16229" s="57">
        <v>71122613</v>
      </c>
      <c r="B16229" s="58" t="s">
        <v>8859</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6249</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13644</v>
      </c>
    </row>
    <row r="16240" spans="1:2" x14ac:dyDescent="0.25">
      <c r="A16240" s="57">
        <v>71122803</v>
      </c>
      <c r="B16240" s="58" t="s">
        <v>12035</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14582</v>
      </c>
    </row>
    <row r="16252" spans="1:2" x14ac:dyDescent="0.25">
      <c r="A16252" s="57">
        <v>71131001</v>
      </c>
      <c r="B16252" s="58" t="s">
        <v>5789</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11151</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6129</v>
      </c>
    </row>
    <row r="16274" spans="1:2" x14ac:dyDescent="0.25">
      <c r="A16274" s="57">
        <v>71131106</v>
      </c>
      <c r="B16274" s="58" t="s">
        <v>13411</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8641</v>
      </c>
    </row>
    <row r="16282" spans="1:2" x14ac:dyDescent="0.25">
      <c r="A16282" s="57">
        <v>71131302</v>
      </c>
      <c r="B16282" s="58" t="s">
        <v>17825</v>
      </c>
    </row>
    <row r="16283" spans="1:2" x14ac:dyDescent="0.25">
      <c r="A16283" s="57">
        <v>71131303</v>
      </c>
      <c r="B16283" s="58" t="s">
        <v>8973</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14173</v>
      </c>
    </row>
    <row r="16288" spans="1:2" x14ac:dyDescent="0.25">
      <c r="A16288" s="57">
        <v>71131308</v>
      </c>
      <c r="B16288" s="58" t="s">
        <v>2834</v>
      </c>
    </row>
    <row r="16289" spans="1:2" x14ac:dyDescent="0.25">
      <c r="A16289" s="57">
        <v>71131309</v>
      </c>
      <c r="B16289" s="58" t="s">
        <v>14396</v>
      </c>
    </row>
    <row r="16290" spans="1:2" x14ac:dyDescent="0.25">
      <c r="A16290" s="57">
        <v>71131310</v>
      </c>
      <c r="B16290" s="58" t="s">
        <v>17839</v>
      </c>
    </row>
    <row r="16291" spans="1:2" x14ac:dyDescent="0.25">
      <c r="A16291" s="57">
        <v>71131401</v>
      </c>
      <c r="B16291" s="58" t="s">
        <v>12346</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13794</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17728</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14403</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5968</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4830</v>
      </c>
    </row>
    <row r="16330" spans="1:2" x14ac:dyDescent="0.25">
      <c r="A16330" s="57">
        <v>71151401</v>
      </c>
      <c r="B16330" s="58" t="s">
        <v>10365</v>
      </c>
    </row>
    <row r="16331" spans="1:2" x14ac:dyDescent="0.25">
      <c r="A16331" s="57">
        <v>71151402</v>
      </c>
      <c r="B16331" s="58" t="s">
        <v>5914</v>
      </c>
    </row>
    <row r="16332" spans="1:2" x14ac:dyDescent="0.25">
      <c r="A16332" s="57">
        <v>71151403</v>
      </c>
      <c r="B16332" s="58" t="s">
        <v>8270</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6287</v>
      </c>
    </row>
    <row r="16338" spans="1:2" x14ac:dyDescent="0.25">
      <c r="A16338" s="57">
        <v>71161003</v>
      </c>
      <c r="B16338" s="58" t="s">
        <v>6559</v>
      </c>
    </row>
    <row r="16339" spans="1:2" x14ac:dyDescent="0.25">
      <c r="A16339" s="57">
        <v>71161004</v>
      </c>
      <c r="B16339" s="58" t="s">
        <v>9983</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17342</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10473</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6195</v>
      </c>
    </row>
    <row r="16362" spans="1:2" x14ac:dyDescent="0.25">
      <c r="A16362" s="57">
        <v>71161305</v>
      </c>
      <c r="B16362" s="58" t="s">
        <v>5414</v>
      </c>
    </row>
    <row r="16363" spans="1:2" x14ac:dyDescent="0.25">
      <c r="A16363" s="57">
        <v>71161306</v>
      </c>
      <c r="B16363" s="58" t="s">
        <v>12485</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13172</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13009</v>
      </c>
    </row>
    <row r="16383" spans="1:2" x14ac:dyDescent="0.25">
      <c r="A16383" s="57">
        <v>72101503</v>
      </c>
      <c r="B16383" s="58" t="s">
        <v>4679</v>
      </c>
    </row>
    <row r="16384" spans="1:2" x14ac:dyDescent="0.25">
      <c r="A16384" s="57">
        <v>72101504</v>
      </c>
      <c r="B16384" s="58" t="s">
        <v>10305</v>
      </c>
    </row>
    <row r="16385" spans="1:2" x14ac:dyDescent="0.25">
      <c r="A16385" s="57">
        <v>72101505</v>
      </c>
      <c r="B16385" s="58" t="s">
        <v>17826</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6109</v>
      </c>
    </row>
    <row r="16389" spans="1:2" x14ac:dyDescent="0.25">
      <c r="A16389" s="57">
        <v>72101603</v>
      </c>
      <c r="B16389" s="58" t="s">
        <v>5164</v>
      </c>
    </row>
    <row r="16390" spans="1:2" x14ac:dyDescent="0.25">
      <c r="A16390" s="57">
        <v>72101604</v>
      </c>
      <c r="B16390" s="58" t="s">
        <v>11909</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12200</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13690</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12347</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11633</v>
      </c>
    </row>
    <row r="16418" spans="1:2" x14ac:dyDescent="0.25">
      <c r="A16418" s="57">
        <v>72102203</v>
      </c>
      <c r="B16418" s="58" t="s">
        <v>18777</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10671</v>
      </c>
    </row>
    <row r="16423" spans="1:2" x14ac:dyDescent="0.25">
      <c r="A16423" s="57">
        <v>72102208</v>
      </c>
      <c r="B16423" s="58" t="s">
        <v>8603</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11127</v>
      </c>
    </row>
    <row r="16440" spans="1:2" x14ac:dyDescent="0.25">
      <c r="A16440" s="57">
        <v>72102506</v>
      </c>
      <c r="B16440" s="58" t="s">
        <v>8682</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12896</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6256</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6107</v>
      </c>
    </row>
    <row r="16455" spans="1:2" x14ac:dyDescent="0.25">
      <c r="A16455" s="57">
        <v>72103001</v>
      </c>
      <c r="B16455" s="58" t="s">
        <v>17504</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5840</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18814</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18648</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17707</v>
      </c>
    </row>
    <row r="16502" spans="1:2" x14ac:dyDescent="0.25">
      <c r="A16502" s="57">
        <v>73121501</v>
      </c>
      <c r="B16502" s="58" t="s">
        <v>18827</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17449</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13898</v>
      </c>
    </row>
    <row r="16509" spans="1:2" x14ac:dyDescent="0.25">
      <c r="A16509" s="57">
        <v>73121508</v>
      </c>
      <c r="B16509" s="58" t="s">
        <v>7343</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17389</v>
      </c>
    </row>
    <row r="16514" spans="1:2" x14ac:dyDescent="0.25">
      <c r="A16514" s="57">
        <v>73121606</v>
      </c>
      <c r="B16514" s="58" t="s">
        <v>14028</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17611</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6200</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13733</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12618</v>
      </c>
    </row>
    <row r="16534" spans="1:2" x14ac:dyDescent="0.25">
      <c r="A16534" s="57">
        <v>73131507</v>
      </c>
      <c r="B16534" s="58" t="s">
        <v>14546</v>
      </c>
    </row>
    <row r="16535" spans="1:2" x14ac:dyDescent="0.25">
      <c r="A16535" s="57">
        <v>73131508</v>
      </c>
      <c r="B16535" s="58" t="s">
        <v>6773</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11643</v>
      </c>
    </row>
    <row r="16541" spans="1:2" x14ac:dyDescent="0.25">
      <c r="A16541" s="57">
        <v>73131606</v>
      </c>
      <c r="B16541" s="58" t="s">
        <v>4907</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8262</v>
      </c>
    </row>
    <row r="16547" spans="1:2" x14ac:dyDescent="0.25">
      <c r="A16547" s="57">
        <v>73131801</v>
      </c>
      <c r="B16547" s="58" t="s">
        <v>17786</v>
      </c>
    </row>
    <row r="16548" spans="1:2" x14ac:dyDescent="0.25">
      <c r="A16548" s="57">
        <v>73131802</v>
      </c>
      <c r="B16548" s="58" t="s">
        <v>5163</v>
      </c>
    </row>
    <row r="16549" spans="1:2" x14ac:dyDescent="0.25">
      <c r="A16549" s="57">
        <v>73131803</v>
      </c>
      <c r="B16549" s="58" t="s">
        <v>10112</v>
      </c>
    </row>
    <row r="16550" spans="1:2" x14ac:dyDescent="0.25">
      <c r="A16550" s="57">
        <v>73131804</v>
      </c>
      <c r="B16550" s="58" t="s">
        <v>7783</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18712</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6184</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17479</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10891</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13026</v>
      </c>
    </row>
    <row r="16606" spans="1:2" x14ac:dyDescent="0.25">
      <c r="A16606" s="57">
        <v>73152002</v>
      </c>
      <c r="B16606" s="58" t="s">
        <v>17425</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11687</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8492</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17405</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17964</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13778</v>
      </c>
    </row>
    <row r="16653" spans="1:2" x14ac:dyDescent="0.25">
      <c r="A16653" s="57">
        <v>73181001</v>
      </c>
      <c r="B16653" s="58" t="s">
        <v>18506</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17462</v>
      </c>
    </row>
    <row r="16670" spans="1:2" x14ac:dyDescent="0.25">
      <c r="A16670" s="57">
        <v>73181018</v>
      </c>
      <c r="B16670" s="58" t="s">
        <v>11304</v>
      </c>
    </row>
    <row r="16671" spans="1:2" x14ac:dyDescent="0.25">
      <c r="A16671" s="57">
        <v>73181019</v>
      </c>
      <c r="B16671" s="58" t="s">
        <v>6101</v>
      </c>
    </row>
    <row r="16672" spans="1:2" x14ac:dyDescent="0.25">
      <c r="A16672" s="57">
        <v>73181020</v>
      </c>
      <c r="B16672" s="58" t="s">
        <v>11531</v>
      </c>
    </row>
    <row r="16673" spans="1:2" x14ac:dyDescent="0.25">
      <c r="A16673" s="57">
        <v>73181021</v>
      </c>
      <c r="B16673" s="58" t="s">
        <v>4431</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17223</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17230</v>
      </c>
    </row>
    <row r="16690" spans="1:2" x14ac:dyDescent="0.25">
      <c r="A16690" s="57">
        <v>73181303</v>
      </c>
      <c r="B16690" s="58" t="s">
        <v>9072</v>
      </c>
    </row>
    <row r="16691" spans="1:2" x14ac:dyDescent="0.25">
      <c r="A16691" s="57">
        <v>73181304</v>
      </c>
      <c r="B16691" s="58" t="s">
        <v>5963</v>
      </c>
    </row>
    <row r="16692" spans="1:2" x14ac:dyDescent="0.25">
      <c r="A16692" s="57">
        <v>73181901</v>
      </c>
      <c r="B16692" s="58" t="s">
        <v>13213</v>
      </c>
    </row>
    <row r="16693" spans="1:2" x14ac:dyDescent="0.25">
      <c r="A16693" s="57">
        <v>73181902</v>
      </c>
      <c r="B16693" s="58" t="s">
        <v>5873</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17336</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13217</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5520</v>
      </c>
    </row>
    <row r="16716" spans="1:2" x14ac:dyDescent="0.25">
      <c r="A16716" s="57">
        <v>76111801</v>
      </c>
      <c r="B16716" s="58" t="s">
        <v>13709</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12031</v>
      </c>
    </row>
    <row r="16722" spans="1:2" x14ac:dyDescent="0.25">
      <c r="A16722" s="57">
        <v>76121603</v>
      </c>
      <c r="B16722" s="58" t="s">
        <v>13434</v>
      </c>
    </row>
    <row r="16723" spans="1:2" x14ac:dyDescent="0.25">
      <c r="A16723" s="57">
        <v>76121604</v>
      </c>
      <c r="B16723" s="58" t="s">
        <v>4365</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13374</v>
      </c>
    </row>
    <row r="16736" spans="1:2" x14ac:dyDescent="0.25">
      <c r="A16736" s="57">
        <v>77101501</v>
      </c>
      <c r="B16736" s="58" t="s">
        <v>4943</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6177</v>
      </c>
    </row>
    <row r="16751" spans="1:2" x14ac:dyDescent="0.25">
      <c r="A16751" s="57">
        <v>77101706</v>
      </c>
      <c r="B16751" s="58" t="s">
        <v>18153</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13878</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6160</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5633</v>
      </c>
    </row>
    <row r="16770" spans="1:2" x14ac:dyDescent="0.25">
      <c r="A16770" s="57">
        <v>77111502</v>
      </c>
      <c r="B16770" s="58" t="s">
        <v>18765</v>
      </c>
    </row>
    <row r="16771" spans="1:2" x14ac:dyDescent="0.25">
      <c r="A16771" s="57">
        <v>77111503</v>
      </c>
      <c r="B16771" s="58" t="s">
        <v>6202</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4730</v>
      </c>
    </row>
    <row r="16782" spans="1:2" x14ac:dyDescent="0.25">
      <c r="A16782" s="57">
        <v>77121503</v>
      </c>
      <c r="B16782" s="58" t="s">
        <v>18741</v>
      </c>
    </row>
    <row r="16783" spans="1:2" x14ac:dyDescent="0.25">
      <c r="A16783" s="57">
        <v>77121504</v>
      </c>
      <c r="B16783" s="58" t="s">
        <v>6405</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6742</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6278</v>
      </c>
    </row>
    <row r="16790" spans="1:2" x14ac:dyDescent="0.25">
      <c r="A16790" s="57">
        <v>77121602</v>
      </c>
      <c r="B16790" s="58" t="s">
        <v>15699</v>
      </c>
    </row>
    <row r="16791" spans="1:2" x14ac:dyDescent="0.25">
      <c r="A16791" s="57">
        <v>77121603</v>
      </c>
      <c r="B16791" s="58" t="s">
        <v>11811</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9491</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5241</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4301</v>
      </c>
    </row>
    <row r="16833" spans="1:2" x14ac:dyDescent="0.25">
      <c r="A16833" s="57">
        <v>78101901</v>
      </c>
      <c r="B16833" s="58" t="s">
        <v>10511</v>
      </c>
    </row>
    <row r="16834" spans="1:2" x14ac:dyDescent="0.25">
      <c r="A16834" s="57">
        <v>78101902</v>
      </c>
      <c r="B16834" s="58" t="s">
        <v>17780</v>
      </c>
    </row>
    <row r="16835" spans="1:2" x14ac:dyDescent="0.25">
      <c r="A16835" s="57">
        <v>78101903</v>
      </c>
      <c r="B16835" s="58" t="s">
        <v>17388</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5915</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9966</v>
      </c>
    </row>
    <row r="16842" spans="1:2" x14ac:dyDescent="0.25">
      <c r="A16842" s="57">
        <v>78102201</v>
      </c>
      <c r="B16842" s="58" t="s">
        <v>9614</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13400</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13950</v>
      </c>
    </row>
    <row r="16872" spans="1:2" x14ac:dyDescent="0.25">
      <c r="A16872" s="57">
        <v>78131603</v>
      </c>
      <c r="B16872" s="58" t="s">
        <v>8483</v>
      </c>
    </row>
    <row r="16873" spans="1:2" x14ac:dyDescent="0.25">
      <c r="A16873" s="57">
        <v>78131701</v>
      </c>
      <c r="B16873" s="58" t="s">
        <v>13529</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6295</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17448</v>
      </c>
    </row>
    <row r="16889" spans="1:2" x14ac:dyDescent="0.25">
      <c r="A16889" s="57">
        <v>78141802</v>
      </c>
      <c r="B16889" s="58" t="s">
        <v>17436</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5896</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18706</v>
      </c>
    </row>
    <row r="16906" spans="1:2" x14ac:dyDescent="0.25">
      <c r="A16906" s="57">
        <v>80101508</v>
      </c>
      <c r="B16906" s="58" t="s">
        <v>11771</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13807</v>
      </c>
    </row>
    <row r="16915" spans="1:2" x14ac:dyDescent="0.25">
      <c r="A16915" s="57">
        <v>80101705</v>
      </c>
      <c r="B16915" s="58" t="s">
        <v>12374</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17851</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9403</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6038</v>
      </c>
    </row>
    <row r="16957" spans="1:2" x14ac:dyDescent="0.25">
      <c r="A16957" s="57">
        <v>80111713</v>
      </c>
      <c r="B16957" s="58" t="s">
        <v>17291</v>
      </c>
    </row>
    <row r="16958" spans="1:2" x14ac:dyDescent="0.25">
      <c r="A16958" s="57">
        <v>80111714</v>
      </c>
      <c r="B16958" s="58" t="s">
        <v>2326</v>
      </c>
    </row>
    <row r="16959" spans="1:2" x14ac:dyDescent="0.25">
      <c r="A16959" s="57">
        <v>80111715</v>
      </c>
      <c r="B16959" s="58" t="s">
        <v>18700</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12117</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17467</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14642</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9993</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6491</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7370</v>
      </c>
    </row>
    <row r="17049" spans="1:2" x14ac:dyDescent="0.25">
      <c r="A17049" s="57">
        <v>80151503</v>
      </c>
      <c r="B17049" s="58" t="s">
        <v>17836</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13927</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6517</v>
      </c>
    </row>
    <row r="17061" spans="1:2" x14ac:dyDescent="0.25">
      <c r="A17061" s="57">
        <v>80161506</v>
      </c>
      <c r="B17061" s="58" t="s">
        <v>12505</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5928</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5824</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17698</v>
      </c>
    </row>
    <row r="17086" spans="1:2" x14ac:dyDescent="0.25">
      <c r="A17086" s="57">
        <v>81101703</v>
      </c>
      <c r="B17086" s="58" t="s">
        <v>15324</v>
      </c>
    </row>
    <row r="17087" spans="1:2" x14ac:dyDescent="0.25">
      <c r="A17087" s="57">
        <v>81101801</v>
      </c>
      <c r="B17087" s="58" t="s">
        <v>6102</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17289</v>
      </c>
    </row>
    <row r="17096" spans="1:2" x14ac:dyDescent="0.25">
      <c r="A17096" s="57">
        <v>81111502</v>
      </c>
      <c r="B17096" s="58" t="s">
        <v>3153</v>
      </c>
    </row>
    <row r="17097" spans="1:2" x14ac:dyDescent="0.25">
      <c r="A17097" s="57">
        <v>81111503</v>
      </c>
      <c r="B17097" s="58" t="s">
        <v>5891</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12263</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6281</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12116</v>
      </c>
    </row>
    <row r="17139" spans="1:2" x14ac:dyDescent="0.25">
      <c r="A17139" s="57">
        <v>81112001</v>
      </c>
      <c r="B17139" s="58" t="s">
        <v>13746</v>
      </c>
    </row>
    <row r="17140" spans="1:2" x14ac:dyDescent="0.25">
      <c r="A17140" s="57">
        <v>81112002</v>
      </c>
      <c r="B17140" s="58" t="s">
        <v>8005</v>
      </c>
    </row>
    <row r="17141" spans="1:2" x14ac:dyDescent="0.25">
      <c r="A17141" s="57">
        <v>81112003</v>
      </c>
      <c r="B17141" s="58" t="s">
        <v>17263</v>
      </c>
    </row>
    <row r="17142" spans="1:2" x14ac:dyDescent="0.25">
      <c r="A17142" s="57">
        <v>81112004</v>
      </c>
      <c r="B17142" s="58" t="s">
        <v>13296</v>
      </c>
    </row>
    <row r="17143" spans="1:2" x14ac:dyDescent="0.25">
      <c r="A17143" s="57">
        <v>81112005</v>
      </c>
      <c r="B17143" s="58" t="s">
        <v>12627</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14266</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14011</v>
      </c>
    </row>
    <row r="17159" spans="1:2" x14ac:dyDescent="0.25">
      <c r="A17159" s="57">
        <v>81121502</v>
      </c>
      <c r="B17159" s="58" t="s">
        <v>4746</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11959</v>
      </c>
    </row>
    <row r="17167" spans="1:2" x14ac:dyDescent="0.25">
      <c r="A17167" s="57">
        <v>81121606</v>
      </c>
      <c r="B17167" s="58" t="s">
        <v>8876</v>
      </c>
    </row>
    <row r="17168" spans="1:2" x14ac:dyDescent="0.25">
      <c r="A17168" s="57">
        <v>81121607</v>
      </c>
      <c r="B17168" s="58" t="s">
        <v>11111</v>
      </c>
    </row>
    <row r="17169" spans="1:2" x14ac:dyDescent="0.25">
      <c r="A17169" s="57">
        <v>81131501</v>
      </c>
      <c r="B17169" s="58" t="s">
        <v>17299</v>
      </c>
    </row>
    <row r="17170" spans="1:2" x14ac:dyDescent="0.25">
      <c r="A17170" s="57">
        <v>81131502</v>
      </c>
      <c r="B17170" s="58" t="s">
        <v>14151</v>
      </c>
    </row>
    <row r="17171" spans="1:2" x14ac:dyDescent="0.25">
      <c r="A17171" s="57">
        <v>81131503</v>
      </c>
      <c r="B17171" s="58" t="s">
        <v>8750</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5933</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6244</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17672</v>
      </c>
    </row>
    <row r="17192" spans="1:2" x14ac:dyDescent="0.25">
      <c r="A17192" s="57">
        <v>81141803</v>
      </c>
      <c r="B17192" s="58" t="s">
        <v>14469</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9908</v>
      </c>
    </row>
    <row r="17203" spans="1:2" x14ac:dyDescent="0.25">
      <c r="A17203" s="57">
        <v>81151604</v>
      </c>
      <c r="B17203" s="58" t="s">
        <v>3848</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14019</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11577</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6076</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12616</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12873</v>
      </c>
    </row>
    <row r="17228" spans="1:2" x14ac:dyDescent="0.25">
      <c r="A17228" s="57">
        <v>82101602</v>
      </c>
      <c r="B17228" s="58" t="s">
        <v>14435</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10767</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4461</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4080</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13280</v>
      </c>
    </row>
    <row r="17252" spans="1:2" x14ac:dyDescent="0.25">
      <c r="A17252" s="57">
        <v>82111802</v>
      </c>
      <c r="B17252" s="58" t="s">
        <v>18691</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12003</v>
      </c>
    </row>
    <row r="17256" spans="1:2" x14ac:dyDescent="0.25">
      <c r="A17256" s="57">
        <v>82111902</v>
      </c>
      <c r="B17256" s="58" t="s">
        <v>17639</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12368</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17718</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11892</v>
      </c>
    </row>
    <row r="17274" spans="1:2" x14ac:dyDescent="0.25">
      <c r="A17274" s="57">
        <v>82121701</v>
      </c>
      <c r="B17274" s="58" t="s">
        <v>5801</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13614</v>
      </c>
    </row>
    <row r="17285" spans="1:2" x14ac:dyDescent="0.25">
      <c r="A17285" s="57">
        <v>82121908</v>
      </c>
      <c r="B17285" s="58" t="s">
        <v>6053</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6010</v>
      </c>
    </row>
    <row r="17292" spans="1:2" x14ac:dyDescent="0.25">
      <c r="A17292" s="57">
        <v>82131603</v>
      </c>
      <c r="B17292" s="58" t="s">
        <v>13805</v>
      </c>
    </row>
    <row r="17293" spans="1:2" x14ac:dyDescent="0.25">
      <c r="A17293" s="57">
        <v>82131604</v>
      </c>
      <c r="B17293" s="58" t="s">
        <v>2657</v>
      </c>
    </row>
    <row r="17294" spans="1:2" x14ac:dyDescent="0.25">
      <c r="A17294" s="57">
        <v>82141501</v>
      </c>
      <c r="B17294" s="58" t="s">
        <v>14747</v>
      </c>
    </row>
    <row r="17295" spans="1:2" x14ac:dyDescent="0.25">
      <c r="A17295" s="57">
        <v>82141502</v>
      </c>
      <c r="B17295" s="58" t="s">
        <v>17543</v>
      </c>
    </row>
    <row r="17296" spans="1:2" x14ac:dyDescent="0.25">
      <c r="A17296" s="57">
        <v>82141503</v>
      </c>
      <c r="B17296" s="58" t="s">
        <v>3165</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10427</v>
      </c>
    </row>
    <row r="17302" spans="1:2" x14ac:dyDescent="0.25">
      <c r="A17302" s="57">
        <v>82141602</v>
      </c>
      <c r="B17302" s="58" t="s">
        <v>5936</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14457</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13918</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6228</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6093</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13493</v>
      </c>
    </row>
    <row r="17353" spans="1:2" x14ac:dyDescent="0.25">
      <c r="A17353" s="57">
        <v>83111506</v>
      </c>
      <c r="B17353" s="58" t="s">
        <v>12918</v>
      </c>
    </row>
    <row r="17354" spans="1:2" x14ac:dyDescent="0.25">
      <c r="A17354" s="57">
        <v>83111507</v>
      </c>
      <c r="B17354" s="58" t="s">
        <v>17984</v>
      </c>
    </row>
    <row r="17355" spans="1:2" x14ac:dyDescent="0.25">
      <c r="A17355" s="57">
        <v>83111508</v>
      </c>
      <c r="B17355" s="58" t="s">
        <v>5961</v>
      </c>
    </row>
    <row r="17356" spans="1:2" x14ac:dyDescent="0.25">
      <c r="A17356" s="57">
        <v>83111510</v>
      </c>
      <c r="B17356" s="58" t="s">
        <v>6634</v>
      </c>
    </row>
    <row r="17357" spans="1:2" x14ac:dyDescent="0.25">
      <c r="A17357" s="57">
        <v>83111511</v>
      </c>
      <c r="B17357" s="58" t="s">
        <v>11588</v>
      </c>
    </row>
    <row r="17358" spans="1:2" x14ac:dyDescent="0.25">
      <c r="A17358" s="57">
        <v>83111601</v>
      </c>
      <c r="B17358" s="58" t="s">
        <v>14442</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14291</v>
      </c>
    </row>
    <row r="17362" spans="1:2" x14ac:dyDescent="0.25">
      <c r="A17362" s="57">
        <v>83111605</v>
      </c>
      <c r="B17362" s="58" t="s">
        <v>8076</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4838</v>
      </c>
    </row>
    <row r="17366" spans="1:2" x14ac:dyDescent="0.25">
      <c r="A17366" s="57">
        <v>83111801</v>
      </c>
      <c r="B17366" s="58" t="s">
        <v>10971</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13233</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17592</v>
      </c>
    </row>
    <row r="17380" spans="1:2" x14ac:dyDescent="0.25">
      <c r="A17380" s="57">
        <v>83112301</v>
      </c>
      <c r="B17380" s="58" t="s">
        <v>13496</v>
      </c>
    </row>
    <row r="17381" spans="1:2" x14ac:dyDescent="0.25">
      <c r="A17381" s="57">
        <v>83112302</v>
      </c>
      <c r="B17381" s="58" t="s">
        <v>12529</v>
      </c>
    </row>
    <row r="17382" spans="1:2" x14ac:dyDescent="0.25">
      <c r="A17382" s="57">
        <v>83112303</v>
      </c>
      <c r="B17382" s="58" t="s">
        <v>14652</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6203</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8434</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5035</v>
      </c>
    </row>
    <row r="17399" spans="1:2" x14ac:dyDescent="0.25">
      <c r="A17399" s="57">
        <v>83112605</v>
      </c>
      <c r="B17399" s="58" t="s">
        <v>13521</v>
      </c>
    </row>
    <row r="17400" spans="1:2" x14ac:dyDescent="0.25">
      <c r="A17400" s="57">
        <v>83121501</v>
      </c>
      <c r="B17400" s="58" t="s">
        <v>18821</v>
      </c>
    </row>
    <row r="17401" spans="1:2" x14ac:dyDescent="0.25">
      <c r="A17401" s="57">
        <v>83121502</v>
      </c>
      <c r="B17401" s="58" t="s">
        <v>6220</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17469</v>
      </c>
    </row>
    <row r="17426" spans="1:2" x14ac:dyDescent="0.25">
      <c r="A17426" s="57">
        <v>84111501</v>
      </c>
      <c r="B17426" s="58" t="s">
        <v>18737</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6044</v>
      </c>
    </row>
    <row r="17435" spans="1:2" x14ac:dyDescent="0.25">
      <c r="A17435" s="57">
        <v>84111603</v>
      </c>
      <c r="B17435" s="58" t="s">
        <v>8036</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17649</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14180</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12973</v>
      </c>
    </row>
    <row r="17450" spans="1:2" x14ac:dyDescent="0.25">
      <c r="A17450" s="57">
        <v>84121606</v>
      </c>
      <c r="B17450" s="58" t="s">
        <v>8113</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14386</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14681</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8872</v>
      </c>
    </row>
    <row r="17460" spans="1:2" x14ac:dyDescent="0.25">
      <c r="A17460" s="57">
        <v>84121804</v>
      </c>
      <c r="B17460" s="58" t="s">
        <v>17395</v>
      </c>
    </row>
    <row r="17461" spans="1:2" x14ac:dyDescent="0.25">
      <c r="A17461" s="57">
        <v>84121805</v>
      </c>
      <c r="B17461" s="58" t="s">
        <v>3885</v>
      </c>
    </row>
    <row r="17462" spans="1:2" x14ac:dyDescent="0.25">
      <c r="A17462" s="57">
        <v>84121806</v>
      </c>
      <c r="B17462" s="58" t="s">
        <v>10979</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5916</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7893</v>
      </c>
    </row>
    <row r="17471" spans="1:2" x14ac:dyDescent="0.25">
      <c r="A17471" s="57">
        <v>84131505</v>
      </c>
      <c r="B17471" s="58" t="s">
        <v>5880</v>
      </c>
    </row>
    <row r="17472" spans="1:2" x14ac:dyDescent="0.25">
      <c r="A17472" s="57">
        <v>84131506</v>
      </c>
      <c r="B17472" s="58" t="s">
        <v>11682</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13662</v>
      </c>
    </row>
    <row r="17487" spans="1:2" x14ac:dyDescent="0.25">
      <c r="A17487" s="57">
        <v>84131604</v>
      </c>
      <c r="B17487" s="58" t="s">
        <v>7562</v>
      </c>
    </row>
    <row r="17488" spans="1:2" x14ac:dyDescent="0.25">
      <c r="A17488" s="57">
        <v>84131605</v>
      </c>
      <c r="B17488" s="58" t="s">
        <v>5859</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13382</v>
      </c>
    </row>
    <row r="17494" spans="1:2" x14ac:dyDescent="0.25">
      <c r="A17494" s="57">
        <v>84131701</v>
      </c>
      <c r="B17494" s="58" t="s">
        <v>4756</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12934</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18710</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5857</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18736</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5252</v>
      </c>
    </row>
    <row r="17539" spans="1:2" x14ac:dyDescent="0.25">
      <c r="A17539" s="57">
        <v>85111514</v>
      </c>
      <c r="B17539" s="58" t="s">
        <v>18150</v>
      </c>
    </row>
    <row r="17540" spans="1:2" x14ac:dyDescent="0.25">
      <c r="A17540" s="57">
        <v>85111601</v>
      </c>
      <c r="B17540" s="58" t="s">
        <v>14494</v>
      </c>
    </row>
    <row r="17541" spans="1:2" x14ac:dyDescent="0.25">
      <c r="A17541" s="57">
        <v>85111602</v>
      </c>
      <c r="B17541" s="58" t="s">
        <v>9476</v>
      </c>
    </row>
    <row r="17542" spans="1:2" x14ac:dyDescent="0.25">
      <c r="A17542" s="57">
        <v>85111603</v>
      </c>
      <c r="B17542" s="58" t="s">
        <v>11774</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6135</v>
      </c>
    </row>
    <row r="17548" spans="1:2" x14ac:dyDescent="0.25">
      <c r="A17548" s="57">
        <v>85111609</v>
      </c>
      <c r="B17548" s="58" t="s">
        <v>7613</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17647</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6052</v>
      </c>
    </row>
    <row r="17556" spans="1:2" x14ac:dyDescent="0.25">
      <c r="A17556" s="57">
        <v>85111617</v>
      </c>
      <c r="B17556" s="58" t="s">
        <v>9218</v>
      </c>
    </row>
    <row r="17557" spans="1:2" x14ac:dyDescent="0.25">
      <c r="A17557" s="57">
        <v>85111701</v>
      </c>
      <c r="B17557" s="58" t="s">
        <v>11974</v>
      </c>
    </row>
    <row r="17558" spans="1:2" x14ac:dyDescent="0.25">
      <c r="A17558" s="57">
        <v>85111702</v>
      </c>
      <c r="B17558" s="58" t="s">
        <v>18002</v>
      </c>
    </row>
    <row r="17559" spans="1:2" x14ac:dyDescent="0.25">
      <c r="A17559" s="57">
        <v>85111703</v>
      </c>
      <c r="B17559" s="58" t="s">
        <v>13599</v>
      </c>
    </row>
    <row r="17560" spans="1:2" x14ac:dyDescent="0.25">
      <c r="A17560" s="57">
        <v>85111704</v>
      </c>
      <c r="B17560" s="58" t="s">
        <v>17589</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18666</v>
      </c>
    </row>
    <row r="17567" spans="1:2" x14ac:dyDescent="0.25">
      <c r="A17567" s="57">
        <v>85121603</v>
      </c>
      <c r="B17567" s="58" t="s">
        <v>4905</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6086</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18019</v>
      </c>
    </row>
    <row r="17586" spans="1:2" x14ac:dyDescent="0.25">
      <c r="A17586" s="57">
        <v>85121802</v>
      </c>
      <c r="B17586" s="58" t="s">
        <v>18717</v>
      </c>
    </row>
    <row r="17587" spans="1:2" x14ac:dyDescent="0.25">
      <c r="A17587" s="57">
        <v>85121803</v>
      </c>
      <c r="B17587" s="58" t="s">
        <v>16438</v>
      </c>
    </row>
    <row r="17588" spans="1:2" x14ac:dyDescent="0.25">
      <c r="A17588" s="57">
        <v>85121804</v>
      </c>
      <c r="B17588" s="58" t="s">
        <v>11834</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12494</v>
      </c>
    </row>
    <row r="17594" spans="1:2" x14ac:dyDescent="0.25">
      <c r="A17594" s="57">
        <v>85121810</v>
      </c>
      <c r="B17594" s="58" t="s">
        <v>4853</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8537</v>
      </c>
    </row>
    <row r="17599" spans="1:2" x14ac:dyDescent="0.25">
      <c r="A17599" s="57">
        <v>85122003</v>
      </c>
      <c r="B17599" s="58" t="s">
        <v>14285</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4070</v>
      </c>
    </row>
    <row r="17617" spans="1:2" x14ac:dyDescent="0.25">
      <c r="A17617" s="57">
        <v>85131601</v>
      </c>
      <c r="B17617" s="58" t="s">
        <v>11837</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11569</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12052</v>
      </c>
    </row>
    <row r="17635" spans="1:2" x14ac:dyDescent="0.25">
      <c r="A17635" s="57">
        <v>85141502</v>
      </c>
      <c r="B17635" s="58" t="s">
        <v>9524</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6118</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9662</v>
      </c>
    </row>
    <row r="17664" spans="1:2" x14ac:dyDescent="0.25">
      <c r="A17664" s="57">
        <v>86101501</v>
      </c>
      <c r="B17664" s="58" t="s">
        <v>17242</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9405</v>
      </c>
    </row>
    <row r="17671" spans="1:2" x14ac:dyDescent="0.25">
      <c r="A17671" s="57">
        <v>86101508</v>
      </c>
      <c r="B17671" s="58" t="s">
        <v>13919</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6096</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13510</v>
      </c>
    </row>
    <row r="17707" spans="1:2" x14ac:dyDescent="0.25">
      <c r="A17707" s="57">
        <v>86101809</v>
      </c>
      <c r="B17707" s="58" t="s">
        <v>4623</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17540</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6193</v>
      </c>
    </row>
    <row r="17745" spans="1:2" x14ac:dyDescent="0.25">
      <c r="A17745" s="57">
        <v>86131804</v>
      </c>
      <c r="B17745" s="58" t="s">
        <v>11179</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10387</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14276</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12106</v>
      </c>
    </row>
    <row r="17790" spans="1:2" x14ac:dyDescent="0.25">
      <c r="A17790" s="57">
        <v>90121602</v>
      </c>
      <c r="B17790" s="58" t="s">
        <v>4822</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6259</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6169</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9832</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11339</v>
      </c>
    </row>
    <row r="17834" spans="1:2" x14ac:dyDescent="0.25">
      <c r="A17834" s="57">
        <v>91101604</v>
      </c>
      <c r="B17834" s="58" t="s">
        <v>8904</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12857</v>
      </c>
    </row>
    <row r="17849" spans="1:2" x14ac:dyDescent="0.25">
      <c r="A17849" s="57">
        <v>91111602</v>
      </c>
      <c r="B17849" s="58" t="s">
        <v>7952</v>
      </c>
    </row>
    <row r="17850" spans="1:2" x14ac:dyDescent="0.25">
      <c r="A17850" s="57">
        <v>91111603</v>
      </c>
      <c r="B17850" s="58" t="s">
        <v>14074</v>
      </c>
    </row>
    <row r="17851" spans="1:2" x14ac:dyDescent="0.25">
      <c r="A17851" s="57">
        <v>91111701</v>
      </c>
      <c r="B17851" s="58" t="s">
        <v>5246</v>
      </c>
    </row>
    <row r="17852" spans="1:2" x14ac:dyDescent="0.25">
      <c r="A17852" s="57">
        <v>91111702</v>
      </c>
      <c r="B17852" s="58" t="s">
        <v>17364</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7520</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13829</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17461</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4137</v>
      </c>
    </row>
    <row r="17877" spans="1:2" x14ac:dyDescent="0.25">
      <c r="A17877" s="57">
        <v>92101804</v>
      </c>
      <c r="B17877" s="58" t="s">
        <v>18791</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13377</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6268</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18828</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10326</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13783</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14430</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11666</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17593</v>
      </c>
    </row>
    <row r="17957" spans="1:2" x14ac:dyDescent="0.25">
      <c r="A17957" s="57">
        <v>93101505</v>
      </c>
      <c r="B17957" s="58" t="s">
        <v>4395</v>
      </c>
    </row>
    <row r="17958" spans="1:2" x14ac:dyDescent="0.25">
      <c r="A17958" s="57">
        <v>93101506</v>
      </c>
      <c r="B17958" s="58" t="s">
        <v>12309</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7806</v>
      </c>
    </row>
    <row r="17964" spans="1:2" x14ac:dyDescent="0.25">
      <c r="A17964" s="57">
        <v>93101606</v>
      </c>
      <c r="B17964" s="58" t="s">
        <v>13478</v>
      </c>
    </row>
    <row r="17965" spans="1:2" x14ac:dyDescent="0.25">
      <c r="A17965" s="57">
        <v>93101607</v>
      </c>
      <c r="B17965" s="58" t="s">
        <v>11809</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9638</v>
      </c>
    </row>
    <row r="17974" spans="1:2" x14ac:dyDescent="0.25">
      <c r="A17974" s="57">
        <v>93111501</v>
      </c>
      <c r="B17974" s="58" t="s">
        <v>8797</v>
      </c>
    </row>
    <row r="17975" spans="1:2" x14ac:dyDescent="0.25">
      <c r="A17975" s="57">
        <v>93111502</v>
      </c>
      <c r="B17975" s="58" t="s">
        <v>6300</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8443</v>
      </c>
    </row>
    <row r="17991" spans="1:2" x14ac:dyDescent="0.25">
      <c r="A17991" s="57">
        <v>93121503</v>
      </c>
      <c r="B17991" s="58" t="s">
        <v>6201</v>
      </c>
    </row>
    <row r="17992" spans="1:2" x14ac:dyDescent="0.25">
      <c r="A17992" s="57">
        <v>93121504</v>
      </c>
      <c r="B17992" s="58" t="s">
        <v>16291</v>
      </c>
    </row>
    <row r="17993" spans="1:2" x14ac:dyDescent="0.25">
      <c r="A17993" s="57">
        <v>93121505</v>
      </c>
      <c r="B17993" s="58" t="s">
        <v>17466</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5631</v>
      </c>
    </row>
    <row r="17997" spans="1:2" x14ac:dyDescent="0.25">
      <c r="A17997" s="57">
        <v>93121509</v>
      </c>
      <c r="B17997" s="58" t="s">
        <v>6222</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17619</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7927</v>
      </c>
    </row>
    <row r="18014" spans="1:2" x14ac:dyDescent="0.25">
      <c r="A18014" s="57">
        <v>93121702</v>
      </c>
      <c r="B18014" s="58" t="s">
        <v>17444</v>
      </c>
    </row>
    <row r="18015" spans="1:2" x14ac:dyDescent="0.25">
      <c r="A18015" s="57">
        <v>93121703</v>
      </c>
      <c r="B18015" s="58" t="s">
        <v>13473</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4347</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17571</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13869</v>
      </c>
    </row>
    <row r="18041" spans="1:2" x14ac:dyDescent="0.25">
      <c r="A18041" s="57">
        <v>93131611</v>
      </c>
      <c r="B18041" s="58" t="s">
        <v>17106</v>
      </c>
    </row>
    <row r="18042" spans="1:2" x14ac:dyDescent="0.25">
      <c r="A18042" s="57">
        <v>93131612</v>
      </c>
      <c r="B18042" s="58" t="s">
        <v>5967</v>
      </c>
    </row>
    <row r="18043" spans="1:2" x14ac:dyDescent="0.25">
      <c r="A18043" s="57">
        <v>93131613</v>
      </c>
      <c r="B18043" s="58" t="s">
        <v>6264</v>
      </c>
    </row>
    <row r="18044" spans="1:2" x14ac:dyDescent="0.25">
      <c r="A18044" s="57">
        <v>93131701</v>
      </c>
      <c r="B18044" s="58" t="s">
        <v>11713</v>
      </c>
    </row>
    <row r="18045" spans="1:2" x14ac:dyDescent="0.25">
      <c r="A18045" s="57">
        <v>93131702</v>
      </c>
      <c r="B18045" s="58" t="s">
        <v>4047</v>
      </c>
    </row>
    <row r="18046" spans="1:2" x14ac:dyDescent="0.25">
      <c r="A18046" s="57">
        <v>93131703</v>
      </c>
      <c r="B18046" s="58" t="s">
        <v>12139</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17785</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10396</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12859</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17849</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5893</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12323</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17783</v>
      </c>
    </row>
    <row r="18103" spans="1:2" x14ac:dyDescent="0.25">
      <c r="A18103" s="57">
        <v>93141812</v>
      </c>
      <c r="B18103" s="58" t="s">
        <v>12188</v>
      </c>
    </row>
    <row r="18104" spans="1:2" x14ac:dyDescent="0.25">
      <c r="A18104" s="57">
        <v>93141813</v>
      </c>
      <c r="B18104" s="58" t="s">
        <v>3982</v>
      </c>
    </row>
    <row r="18105" spans="1:2" x14ac:dyDescent="0.25">
      <c r="A18105" s="57">
        <v>93141814</v>
      </c>
      <c r="B18105" s="58" t="s">
        <v>5901</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17258</v>
      </c>
    </row>
    <row r="18109" spans="1:2" x14ac:dyDescent="0.25">
      <c r="A18109" s="57">
        <v>93141904</v>
      </c>
      <c r="B18109" s="58" t="s">
        <v>13969</v>
      </c>
    </row>
    <row r="18110" spans="1:2" x14ac:dyDescent="0.25">
      <c r="A18110" s="57">
        <v>93141905</v>
      </c>
      <c r="B18110" s="58" t="s">
        <v>4211</v>
      </c>
    </row>
    <row r="18111" spans="1:2" x14ac:dyDescent="0.25">
      <c r="A18111" s="57">
        <v>93141906</v>
      </c>
      <c r="B18111" s="58" t="s">
        <v>6270</v>
      </c>
    </row>
    <row r="18112" spans="1:2" x14ac:dyDescent="0.25">
      <c r="A18112" s="57">
        <v>93141907</v>
      </c>
      <c r="B18112" s="58" t="s">
        <v>8565</v>
      </c>
    </row>
    <row r="18113" spans="1:2" x14ac:dyDescent="0.25">
      <c r="A18113" s="57">
        <v>93141908</v>
      </c>
      <c r="B18113" s="58" t="s">
        <v>9958</v>
      </c>
    </row>
    <row r="18114" spans="1:2" x14ac:dyDescent="0.25">
      <c r="A18114" s="57">
        <v>93141909</v>
      </c>
      <c r="B18114" s="58" t="s">
        <v>8224</v>
      </c>
    </row>
    <row r="18115" spans="1:2" x14ac:dyDescent="0.25">
      <c r="A18115" s="57">
        <v>93141910</v>
      </c>
      <c r="B18115" s="58" t="s">
        <v>13006</v>
      </c>
    </row>
    <row r="18116" spans="1:2" x14ac:dyDescent="0.25">
      <c r="A18116" s="57">
        <v>93142001</v>
      </c>
      <c r="B18116" s="58" t="s">
        <v>17311</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9904</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14346</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9130</v>
      </c>
    </row>
    <row r="18141" spans="1:2" x14ac:dyDescent="0.25">
      <c r="A18141" s="57">
        <v>93151513</v>
      </c>
      <c r="B18141" s="58" t="s">
        <v>11069</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6042</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17367</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17380</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5646</v>
      </c>
    </row>
    <row r="18212" spans="1:2" x14ac:dyDescent="0.25">
      <c r="A18212" s="57">
        <v>94101704</v>
      </c>
      <c r="B18212" s="58" t="s">
        <v>13726</v>
      </c>
    </row>
    <row r="18213" spans="1:2" x14ac:dyDescent="0.25">
      <c r="A18213" s="57">
        <v>94101705</v>
      </c>
      <c r="B18213" s="58" t="s">
        <v>17727</v>
      </c>
    </row>
    <row r="18214" spans="1:2" x14ac:dyDescent="0.25">
      <c r="A18214" s="57">
        <v>94101801</v>
      </c>
      <c r="B18214" s="58" t="s">
        <v>10243</v>
      </c>
    </row>
    <row r="18215" spans="1:2" x14ac:dyDescent="0.25">
      <c r="A18215" s="57">
        <v>94101802</v>
      </c>
      <c r="B18215" s="58" t="s">
        <v>17582</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13522</v>
      </c>
    </row>
    <row r="18223" spans="1:2" x14ac:dyDescent="0.25">
      <c r="A18223" s="57">
        <v>94101810</v>
      </c>
      <c r="B18223" s="58" t="s">
        <v>6100</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13470</v>
      </c>
    </row>
    <row r="18231" spans="1:2" x14ac:dyDescent="0.25">
      <c r="A18231" s="57">
        <v>94111804</v>
      </c>
      <c r="B18231" s="58" t="s">
        <v>7542</v>
      </c>
    </row>
    <row r="18232" spans="1:2" x14ac:dyDescent="0.25">
      <c r="A18232" s="57">
        <v>94111901</v>
      </c>
      <c r="B18232" s="58" t="s">
        <v>11711</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12930</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13475</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14007</v>
      </c>
    </row>
    <row r="18260" spans="1:2" x14ac:dyDescent="0.25">
      <c r="A18260" s="57">
        <v>94121607</v>
      </c>
      <c r="B18260" s="58" t="s">
        <v>7079</v>
      </c>
    </row>
    <row r="18261" spans="1:2" x14ac:dyDescent="0.25">
      <c r="A18261" s="57">
        <v>94121701</v>
      </c>
      <c r="B18261" s="58" t="s">
        <v>5926</v>
      </c>
    </row>
    <row r="18262" spans="1:2" x14ac:dyDescent="0.25">
      <c r="A18262" s="57">
        <v>94121702</v>
      </c>
      <c r="B18262" s="58" t="s">
        <v>9763</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13486</v>
      </c>
    </row>
    <row r="18267" spans="1:2" x14ac:dyDescent="0.25">
      <c r="A18267" s="57">
        <v>94121803</v>
      </c>
      <c r="B18267" s="58" t="s">
        <v>7653</v>
      </c>
    </row>
    <row r="18268" spans="1:2" x14ac:dyDescent="0.25">
      <c r="A18268" s="57">
        <v>94121804</v>
      </c>
      <c r="B18268" s="58" t="s">
        <v>11403</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14620</v>
      </c>
    </row>
    <row r="18276" spans="1:2" x14ac:dyDescent="0.25">
      <c r="A18276" s="57">
        <v>94131603</v>
      </c>
      <c r="B18276" s="58" t="s">
        <v>6258</v>
      </c>
    </row>
    <row r="18277" spans="1:2" x14ac:dyDescent="0.25">
      <c r="A18277" s="57">
        <v>94131604</v>
      </c>
      <c r="B18277" s="58" t="s">
        <v>12497</v>
      </c>
    </row>
    <row r="18278" spans="1:2" x14ac:dyDescent="0.25">
      <c r="A18278" s="57">
        <v>94131605</v>
      </c>
      <c r="B18278" s="58" t="s">
        <v>13279</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5128</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6560</v>
      </c>
    </row>
    <row r="18288" spans="1:2" x14ac:dyDescent="0.25">
      <c r="A18288" s="57">
        <v>94131803</v>
      </c>
      <c r="B18288" s="58" t="s">
        <v>13303</v>
      </c>
    </row>
    <row r="18289" spans="1:2" x14ac:dyDescent="0.25">
      <c r="A18289" s="57">
        <v>94131804</v>
      </c>
      <c r="B18289" s="58" t="s">
        <v>8656</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11724</v>
      </c>
      <c r="D1" s="59" t="s">
        <v>14378</v>
      </c>
      <c r="E1" s="59" t="s">
        <v>10962</v>
      </c>
      <c r="F1" s="59" t="s">
        <v>11095</v>
      </c>
    </row>
    <row r="2" spans="1:10" ht="11.25" customHeight="1" x14ac:dyDescent="0.2">
      <c r="A2" s="61"/>
      <c r="B2" s="61"/>
      <c r="C2" s="61"/>
      <c r="D2" s="61"/>
      <c r="E2" s="61"/>
      <c r="F2" s="61"/>
    </row>
    <row r="3" spans="1:10" ht="11.25" customHeight="1" x14ac:dyDescent="0.2">
      <c r="A3" s="82" t="s">
        <v>14828</v>
      </c>
      <c r="B3" s="62" t="s">
        <v>8528</v>
      </c>
      <c r="C3" s="71"/>
      <c r="D3" s="82" t="s">
        <v>9385</v>
      </c>
      <c r="E3" s="62" t="s">
        <v>13093</v>
      </c>
      <c r="F3" s="61"/>
    </row>
    <row r="4" spans="1:10" ht="11.25" customHeight="1" x14ac:dyDescent="0.2">
      <c r="A4" s="83"/>
      <c r="B4" s="62" t="s">
        <v>1786</v>
      </c>
      <c r="C4" s="60" t="str">
        <f>IF(C3="","",IF(AND(MONTH(C3)&gt;=1,MONTH(C3)&lt;=3),1,IF(AND(MONTH(C3)&gt;=4,MONTH(C3)&lt;=6),2,IF(AND(MONTH(C3)&gt;=7,MONTH(C3)&lt;=9),3,4))))</f>
        <v/>
      </c>
      <c r="D4" s="83"/>
      <c r="E4" s="62" t="s">
        <v>2417</v>
      </c>
      <c r="F4" s="61"/>
    </row>
    <row r="5" spans="1:10" ht="11.25" customHeight="1" x14ac:dyDescent="0.2">
      <c r="A5" s="83"/>
      <c r="B5" s="62" t="s">
        <v>12942</v>
      </c>
      <c r="C5" s="71"/>
      <c r="D5" s="83"/>
      <c r="E5" s="62" t="s">
        <v>3073</v>
      </c>
      <c r="F5" s="61"/>
    </row>
    <row r="6" spans="1:10" ht="11.25" customHeight="1" x14ac:dyDescent="0.2">
      <c r="A6" s="83"/>
      <c r="B6" s="62" t="s">
        <v>1786</v>
      </c>
      <c r="C6" s="60" t="str">
        <f>IF(C5="","",IF(AND(MONTH(C5)&gt;=1,MONTH(C5)&lt;=3),1,IF(AND(MONTH(C5)&gt;=4,MONTH(C5)&lt;=6),2,IF(AND(MONTH(C5)&gt;=7,MONTH(C5)&lt;=9),3,4))))</f>
        <v/>
      </c>
      <c r="D6" s="83"/>
      <c r="E6" s="62" t="s">
        <v>13192</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Accinformacion 1</cp:lastModifiedBy>
  <dcterms:created xsi:type="dcterms:W3CDTF">2014-09-22T13:14:27Z</dcterms:created>
  <dcterms:modified xsi:type="dcterms:W3CDTF">2023-08-11T13:04:13Z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